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4160" windowHeight="9120" activeTab="3"/>
  </bookViews>
  <sheets>
    <sheet name="HEI" sheetId="1" r:id="rId1"/>
    <sheet name="HEI 2" sheetId="2" r:id="rId2"/>
    <sheet name="table" sheetId="3" r:id="rId3"/>
    <sheet name="ENG" sheetId="4" r:id="rId4"/>
    <sheet name="plate NZ" sheetId="5" r:id="rId5"/>
    <sheet name="WHB" sheetId="6" r:id="rId6"/>
    <sheet name="0" sheetId="7" r:id="rId7"/>
  </sheets>
  <definedNames>
    <definedName name="_xlnm.Print_Area" localSheetId="6">'0'!$A$1:$AH$75</definedName>
    <definedName name="_xlnm.Print_Area" localSheetId="3">'ENG'!$A$1:$AH$73</definedName>
    <definedName name="_xlnm.Print_Area" localSheetId="0">'HEI'!$A$1:$AH$75</definedName>
    <definedName name="_xlnm.Print_Area" localSheetId="1">'HEI 2'!$A$1:$AH$75</definedName>
    <definedName name="_xlnm.Print_Area" localSheetId="4">'plate NZ'!$A$1:$AH$73</definedName>
    <definedName name="_xlnm.Print_Area" localSheetId="2">'table'!$A$1:$AH$75</definedName>
    <definedName name="_xlnm.Print_Area" localSheetId="5">'WHB'!$A$1:$AH$73</definedName>
  </definedNames>
  <calcPr fullCalcOnLoad="1"/>
</workbook>
</file>

<file path=xl/sharedStrings.xml><?xml version="1.0" encoding="utf-8"?>
<sst xmlns="http://schemas.openxmlformats.org/spreadsheetml/2006/main" count="956" uniqueCount="541">
  <si>
    <t>Project</t>
  </si>
  <si>
    <t>Item No.</t>
  </si>
  <si>
    <t>Serivice</t>
  </si>
  <si>
    <t>Doc. No.</t>
  </si>
  <si>
    <t>Sheet No.</t>
  </si>
  <si>
    <t>of</t>
  </si>
  <si>
    <t>Revision</t>
  </si>
  <si>
    <t xml:space="preserve"> NTES</t>
  </si>
  <si>
    <t xml:space="preserve">Narai Thermal Engineering Services </t>
  </si>
  <si>
    <t>Date</t>
  </si>
  <si>
    <t>P</t>
  </si>
  <si>
    <t>N</t>
  </si>
  <si>
    <t>S</t>
  </si>
  <si>
    <t>07.  6.  10.</t>
  </si>
  <si>
    <t>A L L O W A B L E     N O Z Z L E     L O A D</t>
  </si>
  <si>
    <t>Standard</t>
  </si>
  <si>
    <t>:</t>
  </si>
  <si>
    <t>N-01</t>
  </si>
  <si>
    <t>Steam Inlet</t>
  </si>
  <si>
    <t>HEI  3.14</t>
  </si>
  <si>
    <t>D E S I G N     D A T A</t>
  </si>
  <si>
    <t xml:space="preserve">   Material</t>
  </si>
  <si>
    <t xml:space="preserve">   NPS</t>
  </si>
  <si>
    <t xml:space="preserve">   Schedule</t>
  </si>
  <si>
    <t xml:space="preserve">   OD</t>
  </si>
  <si>
    <t xml:space="preserve">   Thickness</t>
  </si>
  <si>
    <t xml:space="preserve">    Material</t>
  </si>
  <si>
    <t xml:space="preserve">    ID</t>
  </si>
  <si>
    <t xml:space="preserve">   Outside Radius</t>
  </si>
  <si>
    <t>kg/cm2.g</t>
  </si>
  <si>
    <t>mm</t>
  </si>
  <si>
    <t xml:space="preserve">   Mean Radius</t>
  </si>
  <si>
    <t>Rm</t>
  </si>
  <si>
    <t xml:space="preserve">   Corrosion Allowance</t>
  </si>
  <si>
    <t>ASTM</t>
  </si>
  <si>
    <t>A 106-B</t>
  </si>
  <si>
    <t>Sch.80</t>
  </si>
  <si>
    <t xml:space="preserve">   Allowable Stress</t>
  </si>
  <si>
    <t xml:space="preserve">   Yield Strength at Design Temp.</t>
  </si>
  <si>
    <t>Sa</t>
  </si>
  <si>
    <t>Sy</t>
  </si>
  <si>
    <t>℃</t>
  </si>
  <si>
    <t>A 516-70</t>
  </si>
  <si>
    <t>P A R A M E T E R S</t>
  </si>
  <si>
    <t>=</t>
  </si>
  <si>
    <t>ro</t>
  </si>
  <si>
    <t>mm</t>
  </si>
  <si>
    <t>=</t>
  </si>
  <si>
    <t>β</t>
  </si>
  <si>
    <t>γ</t>
  </si>
  <si>
    <t>V A L U E   from   F I G U R E S</t>
  </si>
  <si>
    <t>α</t>
  </si>
  <si>
    <t>Σ</t>
  </si>
  <si>
    <t>Δ</t>
  </si>
  <si>
    <t>S T R E S S     V A L U E</t>
  </si>
  <si>
    <t>Stress due to Design Pressure</t>
  </si>
  <si>
    <t>T</t>
  </si>
  <si>
    <t>Rm</t>
  </si>
  <si>
    <t>-</t>
  </si>
  <si>
    <t>σ</t>
  </si>
  <si>
    <t>)</t>
  </si>
  <si>
    <t>(</t>
  </si>
  <si>
    <t>2 P</t>
  </si>
  <si>
    <t>S</t>
  </si>
  <si>
    <r>
      <t xml:space="preserve">Smaller of  </t>
    </r>
    <r>
      <rPr>
        <sz val="8"/>
        <rFont val="돋움"/>
        <family val="3"/>
      </rPr>
      <t>σ</t>
    </r>
    <r>
      <rPr>
        <sz val="8"/>
        <rFont val="Arial"/>
        <family val="2"/>
      </rPr>
      <t xml:space="preserve">  and  Sa</t>
    </r>
  </si>
  <si>
    <t>A L L O W A B L E     F O R C E   &amp;   M O M E N T</t>
  </si>
  <si>
    <r>
      <t>F</t>
    </r>
    <r>
      <rPr>
        <b/>
        <vertAlign val="subscript"/>
        <sz val="8"/>
        <rFont val="Arial"/>
        <family val="2"/>
      </rPr>
      <t>RRF</t>
    </r>
  </si>
  <si>
    <r>
      <t>M</t>
    </r>
    <r>
      <rPr>
        <b/>
        <vertAlign val="subscript"/>
        <sz val="8"/>
        <rFont val="Arial"/>
        <family val="2"/>
      </rPr>
      <t>RCM</t>
    </r>
  </si>
  <si>
    <r>
      <t>M</t>
    </r>
    <r>
      <rPr>
        <b/>
        <vertAlign val="subscript"/>
        <sz val="8"/>
        <rFont val="Arial"/>
        <family val="2"/>
      </rPr>
      <t>RLM</t>
    </r>
  </si>
  <si>
    <t>Max. Resultant Radial Force</t>
  </si>
  <si>
    <t>Max. Resultant Long. Moment</t>
  </si>
  <si>
    <t>Max. Resultant Circ.  Moment</t>
  </si>
  <si>
    <t>&lt;-</t>
  </si>
  <si>
    <t>Max. Resultant Force</t>
  </si>
  <si>
    <t>Max. Resultant Moment</t>
  </si>
  <si>
    <r>
      <t>F</t>
    </r>
    <r>
      <rPr>
        <b/>
        <vertAlign val="subscript"/>
        <sz val="8"/>
        <rFont val="Arial"/>
        <family val="2"/>
      </rPr>
      <t>RF</t>
    </r>
  </si>
  <si>
    <r>
      <t>M</t>
    </r>
    <r>
      <rPr>
        <b/>
        <vertAlign val="subscript"/>
        <sz val="8"/>
        <rFont val="Arial"/>
        <family val="2"/>
      </rPr>
      <t>RM</t>
    </r>
  </si>
  <si>
    <r>
      <t>Smaller of  M</t>
    </r>
    <r>
      <rPr>
        <vertAlign val="subscript"/>
        <sz val="8"/>
        <rFont val="Arial"/>
        <family val="2"/>
      </rPr>
      <t>RCM</t>
    </r>
    <r>
      <rPr>
        <sz val="8"/>
        <rFont val="Arial"/>
        <family val="2"/>
      </rPr>
      <t xml:space="preserve">  and  M</t>
    </r>
    <r>
      <rPr>
        <vertAlign val="subscript"/>
        <sz val="8"/>
        <rFont val="Arial"/>
        <family val="2"/>
      </rPr>
      <t>RLM</t>
    </r>
  </si>
  <si>
    <r>
      <t>F</t>
    </r>
    <r>
      <rPr>
        <vertAlign val="subscript"/>
        <sz val="8"/>
        <rFont val="Arial"/>
        <family val="2"/>
      </rPr>
      <t>RRF</t>
    </r>
  </si>
  <si>
    <t>x</t>
  </si>
  <si>
    <t>y</t>
  </si>
  <si>
    <t>y</t>
  </si>
  <si>
    <t>x</t>
  </si>
  <si>
    <t>E V A L U A T I O N</t>
  </si>
  <si>
    <t>Nozzle ID</t>
  </si>
  <si>
    <t>Actual Force</t>
  </si>
  <si>
    <t>Actual Moment</t>
  </si>
  <si>
    <t>Design Pressure</t>
  </si>
  <si>
    <t>Design Temperature</t>
  </si>
  <si>
    <t>Shell</t>
  </si>
  <si>
    <t>Nozzle</t>
  </si>
  <si>
    <t>=</t>
  </si>
  <si>
    <t>from Figure No. 8</t>
  </si>
  <si>
    <t>from Figure No. 9</t>
  </si>
  <si>
    <t>from Figure No. 10</t>
  </si>
  <si>
    <r>
      <t>Rm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x  ro  x  (  Sy  -  S  )  /  Δ</t>
    </r>
  </si>
  <si>
    <r>
      <t>Rm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        x  (  Sy  -  S  )  /  </t>
    </r>
    <r>
      <rPr>
        <sz val="8"/>
        <rFont val="돋움"/>
        <family val="3"/>
      </rPr>
      <t>α</t>
    </r>
  </si>
  <si>
    <r>
      <t>Rm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x  ro  x     Sy             /  Σ </t>
    </r>
  </si>
  <si>
    <t>0.875  x  ro  /  Rm</t>
  </si>
  <si>
    <t>30"</t>
  </si>
  <si>
    <t xml:space="preserve">   Reinforcing Pad Thickness</t>
  </si>
  <si>
    <t>Tp</t>
  </si>
  <si>
    <t>mm</t>
  </si>
  <si>
    <t>=</t>
  </si>
  <si>
    <t>mm</t>
  </si>
  <si>
    <r>
      <t>F</t>
    </r>
    <r>
      <rPr>
        <b/>
        <vertAlign val="subscript"/>
        <sz val="8"/>
        <rFont val="Arial"/>
        <family val="2"/>
      </rPr>
      <t>R</t>
    </r>
  </si>
  <si>
    <r>
      <t>M</t>
    </r>
    <r>
      <rPr>
        <b/>
        <vertAlign val="subscript"/>
        <sz val="8"/>
        <rFont val="Arial"/>
        <family val="2"/>
      </rPr>
      <t>R</t>
    </r>
  </si>
  <si>
    <t>=</t>
  </si>
  <si>
    <t>+</t>
  </si>
  <si>
    <t>≤</t>
  </si>
  <si>
    <r>
      <t>M</t>
    </r>
    <r>
      <rPr>
        <b/>
        <vertAlign val="subscript"/>
        <sz val="8"/>
        <rFont val="Arial"/>
        <family val="2"/>
      </rPr>
      <t>R</t>
    </r>
  </si>
  <si>
    <r>
      <t>M</t>
    </r>
    <r>
      <rPr>
        <b/>
        <vertAlign val="subscript"/>
        <sz val="8"/>
        <rFont val="Arial"/>
        <family val="2"/>
      </rPr>
      <t>RM</t>
    </r>
  </si>
  <si>
    <t>Aaaaaa</t>
  </si>
  <si>
    <t>0.</t>
  </si>
  <si>
    <t>A A A A A</t>
  </si>
  <si>
    <t>CAL - ANL - 100</t>
  </si>
  <si>
    <t>CAL - AAA - 100</t>
  </si>
  <si>
    <t>Te</t>
  </si>
  <si>
    <t>Rm  /  Te</t>
  </si>
  <si>
    <t>(  T^2  +  Tp^2  ) ^ 0.5</t>
  </si>
  <si>
    <t>07.  6.  18.</t>
  </si>
  <si>
    <t>mm</t>
  </si>
  <si>
    <t>Te</t>
  </si>
  <si>
    <t>Doc. No.</t>
  </si>
  <si>
    <t>Sheet No.</t>
  </si>
  <si>
    <t>of</t>
  </si>
  <si>
    <t>Date</t>
  </si>
  <si>
    <t>Revision</t>
  </si>
  <si>
    <t>Allowable Force</t>
  </si>
  <si>
    <t>Allowable Moment</t>
  </si>
  <si>
    <t>A L L O W A B L E     N O Z Z L E     L O A D</t>
  </si>
  <si>
    <t>Project</t>
  </si>
  <si>
    <t>Item No.</t>
  </si>
  <si>
    <t>Serivice</t>
  </si>
  <si>
    <t>Nozzle ID</t>
  </si>
  <si>
    <t>:</t>
  </si>
  <si>
    <t>N-01</t>
  </si>
  <si>
    <t>Steam Inlet</t>
  </si>
  <si>
    <t>Standard</t>
  </si>
  <si>
    <t>HEI  3.14</t>
  </si>
  <si>
    <t xml:space="preserve">    Material</t>
  </si>
  <si>
    <t xml:space="preserve">   Allowable Stress</t>
  </si>
  <si>
    <t>Sa</t>
  </si>
  <si>
    <t xml:space="preserve">   Yield Strength at Design Temp.</t>
  </si>
  <si>
    <t>Sy</t>
  </si>
  <si>
    <t xml:space="preserve">    ID</t>
  </si>
  <si>
    <t xml:space="preserve">   Thickness</t>
  </si>
  <si>
    <t>T</t>
  </si>
  <si>
    <t xml:space="preserve">   Reinforcing Pad Thickness</t>
  </si>
  <si>
    <t>Tp</t>
  </si>
  <si>
    <t xml:space="preserve">   Corrosion Allowance</t>
  </si>
  <si>
    <t xml:space="preserve">   Mean Radius</t>
  </si>
  <si>
    <t xml:space="preserve">   Material</t>
  </si>
  <si>
    <t xml:space="preserve">   NPS</t>
  </si>
  <si>
    <t xml:space="preserve">   Schedule</t>
  </si>
  <si>
    <t xml:space="preserve">   OD</t>
  </si>
  <si>
    <t xml:space="preserve">   Outside Radius</t>
  </si>
  <si>
    <t>ro</t>
  </si>
  <si>
    <t>P A R A M E T E R S</t>
  </si>
  <si>
    <t>β</t>
  </si>
  <si>
    <t>γ</t>
  </si>
  <si>
    <t>V A L U E   from   F I G U R E S</t>
  </si>
  <si>
    <t>α</t>
  </si>
  <si>
    <t>Σ</t>
  </si>
  <si>
    <t>Δ</t>
  </si>
  <si>
    <t>S T R E S S     V A L U E</t>
  </si>
  <si>
    <t>Stress due to Design Pressure</t>
  </si>
  <si>
    <t>σ</t>
  </si>
  <si>
    <t>2 P</t>
  </si>
  <si>
    <t>(</t>
  </si>
  <si>
    <t>-</t>
  </si>
  <si>
    <t>)</t>
  </si>
  <si>
    <t>A L L O W A B L E     F O R C E   &amp;   M O M E N T</t>
  </si>
  <si>
    <t>Max. Resultant Radial Force</t>
  </si>
  <si>
    <r>
      <t>F</t>
    </r>
    <r>
      <rPr>
        <b/>
        <vertAlign val="subscript"/>
        <sz val="8"/>
        <rFont val="Arial"/>
        <family val="2"/>
      </rPr>
      <t>RRF</t>
    </r>
  </si>
  <si>
    <t>&lt;-</t>
  </si>
  <si>
    <r>
      <t>M</t>
    </r>
    <r>
      <rPr>
        <b/>
        <vertAlign val="subscript"/>
        <sz val="8"/>
        <rFont val="Arial"/>
        <family val="2"/>
      </rPr>
      <t>RCM</t>
    </r>
  </si>
  <si>
    <r>
      <t>M</t>
    </r>
    <r>
      <rPr>
        <b/>
        <vertAlign val="subscript"/>
        <sz val="8"/>
        <rFont val="Arial"/>
        <family val="2"/>
      </rPr>
      <t>RLM</t>
    </r>
  </si>
  <si>
    <r>
      <t>F</t>
    </r>
    <r>
      <rPr>
        <vertAlign val="subscript"/>
        <sz val="8"/>
        <rFont val="Arial"/>
        <family val="2"/>
      </rPr>
      <t>RRF</t>
    </r>
  </si>
  <si>
    <t>y</t>
  </si>
  <si>
    <t>x</t>
  </si>
  <si>
    <t>Actual Moment</t>
  </si>
  <si>
    <t>+</t>
  </si>
  <si>
    <t>≤</t>
  </si>
  <si>
    <r>
      <t>( M</t>
    </r>
    <r>
      <rPr>
        <vertAlign val="subscript"/>
        <sz val="8"/>
        <color indexed="10"/>
        <rFont val="Arial"/>
        <family val="2"/>
      </rPr>
      <t xml:space="preserve">RCM </t>
    </r>
    <r>
      <rPr>
        <sz val="8"/>
        <color indexed="10"/>
        <rFont val="Arial"/>
        <family val="2"/>
      </rPr>
      <t>^ 2 + M</t>
    </r>
    <r>
      <rPr>
        <vertAlign val="subscript"/>
        <sz val="8"/>
        <color indexed="10"/>
        <rFont val="Arial"/>
        <family val="2"/>
      </rPr>
      <t>RLM</t>
    </r>
    <r>
      <rPr>
        <sz val="8"/>
        <color indexed="10"/>
        <rFont val="Arial"/>
        <family val="2"/>
      </rPr>
      <t xml:space="preserve"> ^ 2 ) ^ 0.5</t>
    </r>
  </si>
  <si>
    <t>CAL - ANL - 110</t>
  </si>
  <si>
    <t>TBL - ANL - 100</t>
  </si>
  <si>
    <t>1.</t>
  </si>
  <si>
    <t>Design Data</t>
  </si>
  <si>
    <t>Design Method</t>
  </si>
  <si>
    <t>Standard HEI  3. 14</t>
  </si>
  <si>
    <t>2.</t>
  </si>
  <si>
    <t>3.</t>
  </si>
  <si>
    <t>Nomenclature</t>
  </si>
  <si>
    <t>Radial Force</t>
  </si>
  <si>
    <t>Circumferential Force</t>
  </si>
  <si>
    <t>Torsional Moment</t>
  </si>
  <si>
    <t>Resultant Force</t>
  </si>
  <si>
    <r>
      <t>F</t>
    </r>
    <r>
      <rPr>
        <b/>
        <vertAlign val="subscript"/>
        <sz val="8"/>
        <rFont val="Arial"/>
        <family val="2"/>
      </rPr>
      <t>RM</t>
    </r>
  </si>
  <si>
    <r>
      <t>F</t>
    </r>
    <r>
      <rPr>
        <b/>
        <vertAlign val="subscript"/>
        <sz val="8"/>
        <rFont val="Arial"/>
        <family val="2"/>
      </rPr>
      <t>R</t>
    </r>
  </si>
  <si>
    <r>
      <t>M</t>
    </r>
    <r>
      <rPr>
        <b/>
        <vertAlign val="subscript"/>
        <sz val="8"/>
        <rFont val="Arial"/>
        <family val="2"/>
      </rPr>
      <t>LM</t>
    </r>
  </si>
  <si>
    <r>
      <t>M</t>
    </r>
    <r>
      <rPr>
        <b/>
        <vertAlign val="subscript"/>
        <sz val="8"/>
        <rFont val="Arial"/>
        <family val="2"/>
      </rPr>
      <t>TM</t>
    </r>
  </si>
  <si>
    <t>4.</t>
  </si>
  <si>
    <t>Table of Allowable Force &amp; Moment</t>
  </si>
  <si>
    <r>
      <t>M</t>
    </r>
    <r>
      <rPr>
        <b/>
        <vertAlign val="subscript"/>
        <sz val="8"/>
        <rFont val="Arial"/>
        <family val="2"/>
      </rPr>
      <t>CM</t>
    </r>
  </si>
  <si>
    <t/>
  </si>
  <si>
    <t>Notes</t>
  </si>
  <si>
    <t>1.</t>
  </si>
  <si>
    <t>Logitudinal Moment</t>
  </si>
  <si>
    <t>Circumferential Moment</t>
  </si>
  <si>
    <t>Resultant Moment</t>
  </si>
  <si>
    <t>mm</t>
  </si>
  <si>
    <t>Nozzle</t>
  </si>
  <si>
    <t>Size</t>
  </si>
  <si>
    <t>4"</t>
  </si>
  <si>
    <t>8"</t>
  </si>
  <si>
    <r>
      <t>F</t>
    </r>
    <r>
      <rPr>
        <b/>
        <vertAlign val="subscript"/>
        <sz val="8"/>
        <rFont val="Arial"/>
        <family val="2"/>
      </rPr>
      <t>LM</t>
    </r>
  </si>
  <si>
    <r>
      <t>F</t>
    </r>
    <r>
      <rPr>
        <b/>
        <vertAlign val="subscript"/>
        <sz val="8"/>
        <rFont val="Arial"/>
        <family val="2"/>
      </rPr>
      <t>CM</t>
    </r>
  </si>
  <si>
    <r>
      <t xml:space="preserve">(  </t>
    </r>
    <r>
      <rPr>
        <b/>
        <sz val="8"/>
        <rFont val="Arial"/>
        <family val="2"/>
      </rPr>
      <t>M</t>
    </r>
    <r>
      <rPr>
        <b/>
        <vertAlign val="subscript"/>
        <sz val="8"/>
        <rFont val="Arial"/>
        <family val="2"/>
      </rPr>
      <t>TM</t>
    </r>
    <r>
      <rPr>
        <sz val="8"/>
        <rFont val="Arial"/>
        <family val="2"/>
      </rPr>
      <t xml:space="preserve">^2  +  </t>
    </r>
    <r>
      <rPr>
        <b/>
        <sz val="8"/>
        <rFont val="Arial"/>
        <family val="2"/>
      </rPr>
      <t>M</t>
    </r>
    <r>
      <rPr>
        <b/>
        <vertAlign val="subscript"/>
        <sz val="8"/>
        <rFont val="Arial"/>
        <family val="2"/>
      </rPr>
      <t>CM</t>
    </r>
    <r>
      <rPr>
        <sz val="8"/>
        <rFont val="Arial"/>
        <family val="2"/>
      </rPr>
      <t xml:space="preserve">^2  +  </t>
    </r>
    <r>
      <rPr>
        <b/>
        <sz val="8"/>
        <rFont val="Arial"/>
        <family val="2"/>
      </rPr>
      <t>M</t>
    </r>
    <r>
      <rPr>
        <b/>
        <vertAlign val="subscript"/>
        <sz val="8"/>
        <rFont val="Arial"/>
        <family val="2"/>
      </rPr>
      <t>LM</t>
    </r>
    <r>
      <rPr>
        <sz val="8"/>
        <rFont val="Arial"/>
        <family val="2"/>
      </rPr>
      <t>^2  )^0.5</t>
    </r>
  </si>
  <si>
    <t>Logitudinal Force</t>
  </si>
  <si>
    <t>12"</t>
  </si>
  <si>
    <t>16"</t>
  </si>
  <si>
    <t>20"</t>
  </si>
  <si>
    <t>Nozzle</t>
  </si>
  <si>
    <t>ID</t>
  </si>
  <si>
    <t>N - 1</t>
  </si>
  <si>
    <t>OD</t>
  </si>
  <si>
    <r>
      <t>F</t>
    </r>
    <r>
      <rPr>
        <b/>
        <vertAlign val="subscript"/>
        <sz val="8"/>
        <rFont val="Arial"/>
        <family val="2"/>
      </rPr>
      <t>RMAX</t>
    </r>
  </si>
  <si>
    <r>
      <t>M</t>
    </r>
    <r>
      <rPr>
        <b/>
        <vertAlign val="subscript"/>
        <sz val="8"/>
        <rFont val="Arial"/>
        <family val="2"/>
      </rPr>
      <t>RMAX</t>
    </r>
  </si>
  <si>
    <r>
      <t>F</t>
    </r>
    <r>
      <rPr>
        <b/>
        <vertAlign val="subscript"/>
        <sz val="8"/>
        <rFont val="Arial"/>
        <family val="2"/>
      </rPr>
      <t>RM</t>
    </r>
  </si>
  <si>
    <r>
      <t>M</t>
    </r>
    <r>
      <rPr>
        <b/>
        <vertAlign val="subscript"/>
        <sz val="8"/>
        <rFont val="Arial"/>
        <family val="2"/>
      </rPr>
      <t>TM</t>
    </r>
  </si>
  <si>
    <r>
      <t>F</t>
    </r>
    <r>
      <rPr>
        <b/>
        <vertAlign val="subscript"/>
        <sz val="8"/>
        <rFont val="Arial"/>
        <family val="2"/>
      </rPr>
      <t>RMAX</t>
    </r>
  </si>
  <si>
    <r>
      <t>M</t>
    </r>
    <r>
      <rPr>
        <b/>
        <vertAlign val="subscript"/>
        <sz val="8"/>
        <rFont val="Arial"/>
        <family val="2"/>
      </rPr>
      <t>RMAX</t>
    </r>
  </si>
  <si>
    <t>%</t>
  </si>
  <si>
    <t>%</t>
  </si>
  <si>
    <r>
      <t>M</t>
    </r>
    <r>
      <rPr>
        <b/>
        <vertAlign val="subscript"/>
        <sz val="8"/>
        <rFont val="Arial"/>
        <family val="2"/>
      </rPr>
      <t>LM</t>
    </r>
  </si>
  <si>
    <t>3.</t>
  </si>
  <si>
    <t>4.</t>
  </si>
  <si>
    <t>5.</t>
  </si>
  <si>
    <t>The external loads shall satisfy the following relation.</t>
  </si>
  <si>
    <t>+</t>
  </si>
  <si>
    <t>≤</t>
  </si>
  <si>
    <t>Where,</t>
  </si>
  <si>
    <t>Resultant Extermal Force</t>
  </si>
  <si>
    <t>Resultant Extermal Moment</t>
  </si>
  <si>
    <r>
      <t xml:space="preserve">(  </t>
    </r>
    <r>
      <rPr>
        <b/>
        <sz val="8"/>
        <rFont val="Arial"/>
        <family val="2"/>
      </rPr>
      <t>M</t>
    </r>
    <r>
      <rPr>
        <b/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^2  +  </t>
    </r>
    <r>
      <rPr>
        <b/>
        <sz val="8"/>
        <rFont val="Arial"/>
        <family val="2"/>
      </rPr>
      <t>M</t>
    </r>
    <r>
      <rPr>
        <b/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^2  +  </t>
    </r>
    <r>
      <rPr>
        <b/>
        <sz val="8"/>
        <rFont val="Arial"/>
        <family val="2"/>
      </rPr>
      <t>M</t>
    </r>
    <r>
      <rPr>
        <b/>
        <vertAlign val="subscript"/>
        <sz val="8"/>
        <rFont val="Arial"/>
        <family val="2"/>
      </rPr>
      <t>L</t>
    </r>
    <r>
      <rPr>
        <sz val="8"/>
        <rFont val="Arial"/>
        <family val="2"/>
      </rPr>
      <t>^2  )^0.5</t>
    </r>
  </si>
  <si>
    <r>
      <t>M</t>
    </r>
    <r>
      <rPr>
        <b/>
        <vertAlign val="subscript"/>
        <sz val="8"/>
        <rFont val="Arial"/>
        <family val="2"/>
      </rPr>
      <t>RE</t>
    </r>
  </si>
  <si>
    <r>
      <t>F</t>
    </r>
    <r>
      <rPr>
        <b/>
        <vertAlign val="subscript"/>
        <sz val="8"/>
        <rFont val="Arial"/>
        <family val="2"/>
      </rPr>
      <t>RE</t>
    </r>
  </si>
  <si>
    <r>
      <t xml:space="preserve">(  </t>
    </r>
    <r>
      <rPr>
        <b/>
        <sz val="8"/>
        <rFont val="Arial"/>
        <family val="2"/>
      </rPr>
      <t>F</t>
    </r>
    <r>
      <rPr>
        <b/>
        <vertAlign val="subscript"/>
        <sz val="8"/>
        <rFont val="Arial"/>
        <family val="2"/>
      </rPr>
      <t>RM</t>
    </r>
    <r>
      <rPr>
        <sz val="8"/>
        <rFont val="Arial"/>
        <family val="2"/>
      </rPr>
      <t xml:space="preserve">^2   +  </t>
    </r>
    <r>
      <rPr>
        <b/>
        <sz val="8"/>
        <rFont val="Arial"/>
        <family val="2"/>
      </rPr>
      <t>F</t>
    </r>
    <r>
      <rPr>
        <b/>
        <vertAlign val="subscript"/>
        <sz val="8"/>
        <rFont val="Arial"/>
        <family val="2"/>
      </rPr>
      <t>LM</t>
    </r>
    <r>
      <rPr>
        <sz val="8"/>
        <rFont val="Arial"/>
        <family val="2"/>
      </rPr>
      <t xml:space="preserve">^2    +  </t>
    </r>
    <r>
      <rPr>
        <b/>
        <sz val="8"/>
        <rFont val="Arial"/>
        <family val="2"/>
      </rPr>
      <t>F</t>
    </r>
    <r>
      <rPr>
        <b/>
        <vertAlign val="subscript"/>
        <sz val="8"/>
        <rFont val="Arial"/>
        <family val="2"/>
      </rPr>
      <t>CM</t>
    </r>
    <r>
      <rPr>
        <sz val="8"/>
        <rFont val="Arial"/>
        <family val="2"/>
      </rPr>
      <t>^2  )^0.5</t>
    </r>
  </si>
  <si>
    <r>
      <t xml:space="preserve">(  </t>
    </r>
    <r>
      <rPr>
        <b/>
        <sz val="8"/>
        <rFont val="Arial"/>
        <family val="2"/>
      </rPr>
      <t>F</t>
    </r>
    <r>
      <rPr>
        <b/>
        <vertAlign val="subscript"/>
        <sz val="8"/>
        <rFont val="Arial"/>
        <family val="2"/>
      </rPr>
      <t>R</t>
    </r>
    <r>
      <rPr>
        <sz val="8"/>
        <rFont val="Arial"/>
        <family val="2"/>
      </rPr>
      <t xml:space="preserve">^2   +  </t>
    </r>
    <r>
      <rPr>
        <b/>
        <sz val="8"/>
        <rFont val="Arial"/>
        <family val="2"/>
      </rPr>
      <t>F</t>
    </r>
    <r>
      <rPr>
        <b/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^2    +  </t>
    </r>
    <r>
      <rPr>
        <b/>
        <sz val="8"/>
        <rFont val="Arial"/>
        <family val="2"/>
      </rPr>
      <t>F</t>
    </r>
    <r>
      <rPr>
        <b/>
        <vertAlign val="subscript"/>
        <sz val="8"/>
        <rFont val="Arial"/>
        <family val="2"/>
      </rPr>
      <t>C</t>
    </r>
    <r>
      <rPr>
        <sz val="8"/>
        <rFont val="Arial"/>
        <family val="2"/>
      </rPr>
      <t>^2  )^0.5</t>
    </r>
  </si>
  <si>
    <t>A L L O W A B L E     N O Z Z L E     L O A D</t>
  </si>
  <si>
    <t>Doc. No.</t>
  </si>
  <si>
    <t>TBL - ANL - 100</t>
  </si>
  <si>
    <t>Sheet No.</t>
  </si>
  <si>
    <t>of</t>
  </si>
  <si>
    <t>1.</t>
  </si>
  <si>
    <t>Design Method</t>
  </si>
  <si>
    <t>Date</t>
  </si>
  <si>
    <t>Revision</t>
  </si>
  <si>
    <t>2.</t>
  </si>
  <si>
    <t>Design Data</t>
  </si>
  <si>
    <t>Design Pressure</t>
  </si>
  <si>
    <t>Design Temperature</t>
  </si>
  <si>
    <t xml:space="preserve">   Allowable Stress</t>
  </si>
  <si>
    <t>Nozzle</t>
  </si>
  <si>
    <t xml:space="preserve">   Material</t>
  </si>
  <si>
    <t>3.</t>
  </si>
  <si>
    <t>Nomenclature</t>
  </si>
  <si>
    <r>
      <t>F</t>
    </r>
    <r>
      <rPr>
        <b/>
        <vertAlign val="subscript"/>
        <sz val="8"/>
        <rFont val="Arial"/>
        <family val="2"/>
      </rPr>
      <t>RM</t>
    </r>
  </si>
  <si>
    <t>Radial Force</t>
  </si>
  <si>
    <r>
      <t>F</t>
    </r>
    <r>
      <rPr>
        <b/>
        <vertAlign val="subscript"/>
        <sz val="8"/>
        <rFont val="Arial"/>
        <family val="2"/>
      </rPr>
      <t>LM</t>
    </r>
  </si>
  <si>
    <t>Logitudinal Force</t>
  </si>
  <si>
    <r>
      <t>F</t>
    </r>
    <r>
      <rPr>
        <b/>
        <vertAlign val="subscript"/>
        <sz val="8"/>
        <rFont val="Arial"/>
        <family val="2"/>
      </rPr>
      <t>CM</t>
    </r>
  </si>
  <si>
    <t>Circumferential Force</t>
  </si>
  <si>
    <r>
      <t>F</t>
    </r>
    <r>
      <rPr>
        <b/>
        <vertAlign val="subscript"/>
        <sz val="8"/>
        <rFont val="Arial"/>
        <family val="2"/>
      </rPr>
      <t>R</t>
    </r>
  </si>
  <si>
    <t>Resultant Force</t>
  </si>
  <si>
    <r>
      <t>M</t>
    </r>
    <r>
      <rPr>
        <b/>
        <vertAlign val="subscript"/>
        <sz val="8"/>
        <rFont val="Arial"/>
        <family val="2"/>
      </rPr>
      <t>TM</t>
    </r>
  </si>
  <si>
    <t>Torsional Moment</t>
  </si>
  <si>
    <r>
      <t>M</t>
    </r>
    <r>
      <rPr>
        <b/>
        <vertAlign val="subscript"/>
        <sz val="8"/>
        <rFont val="Arial"/>
        <family val="2"/>
      </rPr>
      <t>CM</t>
    </r>
  </si>
  <si>
    <t>Circumferential Moment</t>
  </si>
  <si>
    <r>
      <t>M</t>
    </r>
    <r>
      <rPr>
        <b/>
        <vertAlign val="subscript"/>
        <sz val="8"/>
        <rFont val="Arial"/>
        <family val="2"/>
      </rPr>
      <t>LM</t>
    </r>
  </si>
  <si>
    <t>Logitudinal Moment</t>
  </si>
  <si>
    <r>
      <t>M</t>
    </r>
    <r>
      <rPr>
        <b/>
        <vertAlign val="subscript"/>
        <sz val="8"/>
        <rFont val="Arial"/>
        <family val="2"/>
      </rPr>
      <t>R</t>
    </r>
  </si>
  <si>
    <t>Resultant Moment</t>
  </si>
  <si>
    <t>4.</t>
  </si>
  <si>
    <t>Table of Allowable Force &amp; Moment</t>
  </si>
  <si>
    <t>Allowable Force</t>
  </si>
  <si>
    <t>Allowable Moment</t>
  </si>
  <si>
    <t>ID</t>
  </si>
  <si>
    <t>Size</t>
  </si>
  <si>
    <t>OD</t>
  </si>
  <si>
    <r>
      <t>F</t>
    </r>
    <r>
      <rPr>
        <b/>
        <vertAlign val="subscript"/>
        <sz val="8"/>
        <rFont val="Arial"/>
        <family val="2"/>
      </rPr>
      <t>RMAX</t>
    </r>
  </si>
  <si>
    <r>
      <t>M</t>
    </r>
    <r>
      <rPr>
        <b/>
        <vertAlign val="subscript"/>
        <sz val="8"/>
        <rFont val="Arial"/>
        <family val="2"/>
      </rPr>
      <t>RMAX</t>
    </r>
  </si>
  <si>
    <t>N - 1</t>
  </si>
  <si>
    <t>Notes</t>
  </si>
  <si>
    <t>=</t>
  </si>
  <si>
    <t>%</t>
  </si>
  <si>
    <t>5.</t>
  </si>
  <si>
    <t>The external loads shall satisfy the following relation.</t>
  </si>
  <si>
    <t>+</t>
  </si>
  <si>
    <t>≤</t>
  </si>
  <si>
    <t>Where,</t>
  </si>
  <si>
    <r>
      <t>F</t>
    </r>
    <r>
      <rPr>
        <b/>
        <vertAlign val="subscript"/>
        <sz val="8"/>
        <rFont val="Arial"/>
        <family val="2"/>
      </rPr>
      <t>RE</t>
    </r>
  </si>
  <si>
    <t>Resultant Extermal Force</t>
  </si>
  <si>
    <r>
      <t xml:space="preserve">(  </t>
    </r>
    <r>
      <rPr>
        <b/>
        <sz val="8"/>
        <rFont val="Arial"/>
        <family val="2"/>
      </rPr>
      <t>F</t>
    </r>
    <r>
      <rPr>
        <b/>
        <vertAlign val="subscript"/>
        <sz val="8"/>
        <rFont val="Arial"/>
        <family val="2"/>
      </rPr>
      <t>R</t>
    </r>
    <r>
      <rPr>
        <sz val="8"/>
        <rFont val="Arial"/>
        <family val="2"/>
      </rPr>
      <t xml:space="preserve">^2   +  </t>
    </r>
    <r>
      <rPr>
        <b/>
        <sz val="8"/>
        <rFont val="Arial"/>
        <family val="2"/>
      </rPr>
      <t>F</t>
    </r>
    <r>
      <rPr>
        <b/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^2    +  </t>
    </r>
    <r>
      <rPr>
        <b/>
        <sz val="8"/>
        <rFont val="Arial"/>
        <family val="2"/>
      </rPr>
      <t>F</t>
    </r>
    <r>
      <rPr>
        <b/>
        <vertAlign val="subscript"/>
        <sz val="8"/>
        <rFont val="Arial"/>
        <family val="2"/>
      </rPr>
      <t>C</t>
    </r>
    <r>
      <rPr>
        <sz val="8"/>
        <rFont val="Arial"/>
        <family val="2"/>
      </rPr>
      <t>^2  )^0.5</t>
    </r>
  </si>
  <si>
    <r>
      <t>M</t>
    </r>
    <r>
      <rPr>
        <b/>
        <vertAlign val="subscript"/>
        <sz val="8"/>
        <rFont val="Arial"/>
        <family val="2"/>
      </rPr>
      <t>RE</t>
    </r>
  </si>
  <si>
    <t>Resultant Extermal Moment</t>
  </si>
  <si>
    <r>
      <t xml:space="preserve">(  </t>
    </r>
    <r>
      <rPr>
        <b/>
        <sz val="8"/>
        <rFont val="Arial"/>
        <family val="2"/>
      </rPr>
      <t>M</t>
    </r>
    <r>
      <rPr>
        <b/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^2  +  </t>
    </r>
    <r>
      <rPr>
        <b/>
        <sz val="8"/>
        <rFont val="Arial"/>
        <family val="2"/>
      </rPr>
      <t>M</t>
    </r>
    <r>
      <rPr>
        <b/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^2  +  </t>
    </r>
    <r>
      <rPr>
        <b/>
        <sz val="8"/>
        <rFont val="Arial"/>
        <family val="2"/>
      </rPr>
      <t>M</t>
    </r>
    <r>
      <rPr>
        <b/>
        <vertAlign val="subscript"/>
        <sz val="8"/>
        <rFont val="Arial"/>
        <family val="2"/>
      </rPr>
      <t>L</t>
    </r>
    <r>
      <rPr>
        <sz val="8"/>
        <rFont val="Arial"/>
        <family val="2"/>
      </rPr>
      <t>^2  )^0.5</t>
    </r>
  </si>
  <si>
    <t>Standard Nozzle Loading</t>
  </si>
  <si>
    <t>07.  8.  30.</t>
  </si>
  <si>
    <t>t</t>
  </si>
  <si>
    <t>Nominal Thickness of the Nozzle Neck</t>
  </si>
  <si>
    <t>Limiting Reference Stress</t>
  </si>
  <si>
    <t>Nozzle Size Factor</t>
  </si>
  <si>
    <t>Force Multiplication Factor</t>
  </si>
  <si>
    <t>Multiplication Factor</t>
  </si>
  <si>
    <t>NPS</t>
  </si>
  <si>
    <t>a</t>
  </si>
  <si>
    <t>&lt;=</t>
  </si>
  <si>
    <t>4"</t>
  </si>
  <si>
    <t>8"</t>
  </si>
  <si>
    <t>&lt;</t>
  </si>
  <si>
    <t>NPS +1</t>
  </si>
  <si>
    <t>(NPS+16)/3</t>
  </si>
  <si>
    <t>Nominal Pipe Size</t>
  </si>
  <si>
    <t>a</t>
  </si>
  <si>
    <t>b</t>
  </si>
  <si>
    <t>D</t>
  </si>
  <si>
    <t>Limiting Ref. Stress</t>
  </si>
  <si>
    <t>Sch.40</t>
  </si>
  <si>
    <t>NPS</t>
  </si>
  <si>
    <t>b</t>
  </si>
  <si>
    <t>D</t>
  </si>
  <si>
    <t>STD</t>
  </si>
  <si>
    <t>24"</t>
  </si>
  <si>
    <t>Sch.</t>
  </si>
  <si>
    <t>Max.</t>
  </si>
  <si>
    <t>Max.</t>
  </si>
  <si>
    <r>
      <t>F</t>
    </r>
    <r>
      <rPr>
        <b/>
        <vertAlign val="subscript"/>
        <sz val="8"/>
        <rFont val="Arial"/>
        <family val="2"/>
      </rPr>
      <t>RE</t>
    </r>
  </si>
  <si>
    <r>
      <t>M</t>
    </r>
    <r>
      <rPr>
        <b/>
        <vertAlign val="subscript"/>
        <sz val="8"/>
        <rFont val="Arial"/>
        <family val="2"/>
      </rPr>
      <t>RE</t>
    </r>
  </si>
  <si>
    <t>D^2  t  S  /  b</t>
  </si>
  <si>
    <t>D      t  S  /  a</t>
  </si>
  <si>
    <t>Service</t>
  </si>
  <si>
    <t>No. 1 &amp; 2 DH Heater</t>
  </si>
  <si>
    <r>
      <t>부산</t>
    </r>
    <r>
      <rPr>
        <b/>
        <sz val="8"/>
        <color indexed="12"/>
        <rFont val="Arial"/>
        <family val="2"/>
      </rPr>
      <t xml:space="preserve"> </t>
    </r>
    <r>
      <rPr>
        <b/>
        <sz val="8"/>
        <color indexed="12"/>
        <rFont val="돋움"/>
        <family val="3"/>
      </rPr>
      <t>정관지구</t>
    </r>
    <r>
      <rPr>
        <b/>
        <sz val="8"/>
        <color indexed="12"/>
        <rFont val="Arial"/>
        <family val="2"/>
      </rPr>
      <t xml:space="preserve"> </t>
    </r>
    <r>
      <rPr>
        <b/>
        <sz val="8"/>
        <color indexed="12"/>
        <rFont val="돋움"/>
        <family val="3"/>
      </rPr>
      <t>집단</t>
    </r>
    <r>
      <rPr>
        <b/>
        <sz val="8"/>
        <color indexed="12"/>
        <rFont val="Arial"/>
        <family val="2"/>
      </rPr>
      <t xml:space="preserve"> </t>
    </r>
    <r>
      <rPr>
        <b/>
        <sz val="8"/>
        <color indexed="12"/>
        <rFont val="돋움"/>
        <family val="3"/>
      </rPr>
      <t>에너지</t>
    </r>
    <r>
      <rPr>
        <b/>
        <sz val="8"/>
        <color indexed="12"/>
        <rFont val="Arial"/>
        <family val="2"/>
      </rPr>
      <t xml:space="preserve"> </t>
    </r>
    <r>
      <rPr>
        <b/>
        <sz val="8"/>
        <color indexed="12"/>
        <rFont val="돋움"/>
        <family val="3"/>
      </rPr>
      <t>시설</t>
    </r>
    <r>
      <rPr>
        <b/>
        <sz val="8"/>
        <color indexed="12"/>
        <rFont val="Arial"/>
        <family val="2"/>
      </rPr>
      <t xml:space="preserve"> </t>
    </r>
    <r>
      <rPr>
        <b/>
        <sz val="8"/>
        <color indexed="12"/>
        <rFont val="돋움"/>
        <family val="3"/>
      </rPr>
      <t>건설</t>
    </r>
    <r>
      <rPr>
        <b/>
        <sz val="8"/>
        <color indexed="12"/>
        <rFont val="Arial"/>
        <family val="2"/>
      </rPr>
      <t xml:space="preserve"> </t>
    </r>
    <r>
      <rPr>
        <b/>
        <sz val="8"/>
        <color indexed="12"/>
        <rFont val="돋움"/>
        <family val="3"/>
      </rPr>
      <t>공사</t>
    </r>
  </si>
  <si>
    <t>A L L O W A B L E     N O Z Z L E     L O A D</t>
  </si>
  <si>
    <t>Doc. No.</t>
  </si>
  <si>
    <t>Project</t>
  </si>
  <si>
    <t>:</t>
  </si>
  <si>
    <r>
      <t>부산</t>
    </r>
    <r>
      <rPr>
        <b/>
        <sz val="8"/>
        <color indexed="12"/>
        <rFont val="Arial"/>
        <family val="2"/>
      </rPr>
      <t xml:space="preserve"> </t>
    </r>
    <r>
      <rPr>
        <b/>
        <sz val="8"/>
        <color indexed="12"/>
        <rFont val="돋움"/>
        <family val="3"/>
      </rPr>
      <t>정관지구</t>
    </r>
    <r>
      <rPr>
        <b/>
        <sz val="8"/>
        <color indexed="12"/>
        <rFont val="Arial"/>
        <family val="2"/>
      </rPr>
      <t xml:space="preserve"> </t>
    </r>
    <r>
      <rPr>
        <b/>
        <sz val="8"/>
        <color indexed="12"/>
        <rFont val="돋움"/>
        <family val="3"/>
      </rPr>
      <t>집단</t>
    </r>
    <r>
      <rPr>
        <b/>
        <sz val="8"/>
        <color indexed="12"/>
        <rFont val="Arial"/>
        <family val="2"/>
      </rPr>
      <t xml:space="preserve"> </t>
    </r>
    <r>
      <rPr>
        <b/>
        <sz val="8"/>
        <color indexed="12"/>
        <rFont val="돋움"/>
        <family val="3"/>
      </rPr>
      <t>에너지</t>
    </r>
    <r>
      <rPr>
        <b/>
        <sz val="8"/>
        <color indexed="12"/>
        <rFont val="Arial"/>
        <family val="2"/>
      </rPr>
      <t xml:space="preserve"> </t>
    </r>
    <r>
      <rPr>
        <b/>
        <sz val="8"/>
        <color indexed="12"/>
        <rFont val="돋움"/>
        <family val="3"/>
      </rPr>
      <t>시설</t>
    </r>
    <r>
      <rPr>
        <b/>
        <sz val="8"/>
        <color indexed="12"/>
        <rFont val="Arial"/>
        <family val="2"/>
      </rPr>
      <t xml:space="preserve"> </t>
    </r>
    <r>
      <rPr>
        <b/>
        <sz val="8"/>
        <color indexed="12"/>
        <rFont val="돋움"/>
        <family val="3"/>
      </rPr>
      <t>건설</t>
    </r>
    <r>
      <rPr>
        <b/>
        <sz val="8"/>
        <color indexed="12"/>
        <rFont val="Arial"/>
        <family val="2"/>
      </rPr>
      <t xml:space="preserve"> </t>
    </r>
    <r>
      <rPr>
        <b/>
        <sz val="8"/>
        <color indexed="12"/>
        <rFont val="돋움"/>
        <family val="3"/>
      </rPr>
      <t>공사</t>
    </r>
  </si>
  <si>
    <t>Sheet No.</t>
  </si>
  <si>
    <t>of</t>
  </si>
  <si>
    <t>Item No.</t>
  </si>
  <si>
    <t>Date</t>
  </si>
  <si>
    <t>Service</t>
  </si>
  <si>
    <t>No. 1 &amp; 2 DH Heater</t>
  </si>
  <si>
    <t>Revision</t>
  </si>
  <si>
    <t>1.</t>
  </si>
  <si>
    <t>Design Method</t>
  </si>
  <si>
    <t>Standard Nozzle Loading</t>
  </si>
  <si>
    <t>2.</t>
  </si>
  <si>
    <t>Design Data</t>
  </si>
  <si>
    <t>Design Pressure</t>
  </si>
  <si>
    <t>Design Temperature</t>
  </si>
  <si>
    <t>Nozzle</t>
  </si>
  <si>
    <t xml:space="preserve">   Material</t>
  </si>
  <si>
    <t xml:space="preserve">   Allowable Stress</t>
  </si>
  <si>
    <t>3.</t>
  </si>
  <si>
    <t>Nomenclature</t>
  </si>
  <si>
    <r>
      <t>F</t>
    </r>
    <r>
      <rPr>
        <b/>
        <vertAlign val="subscript"/>
        <sz val="8"/>
        <rFont val="Arial"/>
        <family val="2"/>
      </rPr>
      <t>RM</t>
    </r>
  </si>
  <si>
    <t>Radial Force</t>
  </si>
  <si>
    <r>
      <t>F</t>
    </r>
    <r>
      <rPr>
        <b/>
        <vertAlign val="subscript"/>
        <sz val="8"/>
        <rFont val="Arial"/>
        <family val="2"/>
      </rPr>
      <t>LM</t>
    </r>
  </si>
  <si>
    <t>Logitudinal Force</t>
  </si>
  <si>
    <r>
      <t>F</t>
    </r>
    <r>
      <rPr>
        <b/>
        <vertAlign val="subscript"/>
        <sz val="8"/>
        <rFont val="Arial"/>
        <family val="2"/>
      </rPr>
      <t>CM</t>
    </r>
  </si>
  <si>
    <t>Circumferential Force</t>
  </si>
  <si>
    <r>
      <t>F</t>
    </r>
    <r>
      <rPr>
        <b/>
        <vertAlign val="subscript"/>
        <sz val="8"/>
        <rFont val="Arial"/>
        <family val="2"/>
      </rPr>
      <t>R</t>
    </r>
  </si>
  <si>
    <t>Resultant Force</t>
  </si>
  <si>
    <r>
      <t>M</t>
    </r>
    <r>
      <rPr>
        <b/>
        <vertAlign val="subscript"/>
        <sz val="8"/>
        <rFont val="Arial"/>
        <family val="2"/>
      </rPr>
      <t>TM</t>
    </r>
  </si>
  <si>
    <t>Torsional Moment</t>
  </si>
  <si>
    <r>
      <t>M</t>
    </r>
    <r>
      <rPr>
        <b/>
        <vertAlign val="subscript"/>
        <sz val="8"/>
        <rFont val="Arial"/>
        <family val="2"/>
      </rPr>
      <t>CM</t>
    </r>
  </si>
  <si>
    <t>Circumferential Moment</t>
  </si>
  <si>
    <r>
      <t>M</t>
    </r>
    <r>
      <rPr>
        <b/>
        <vertAlign val="subscript"/>
        <sz val="8"/>
        <rFont val="Arial"/>
        <family val="2"/>
      </rPr>
      <t>LM</t>
    </r>
  </si>
  <si>
    <t>Logitudinal Moment</t>
  </si>
  <si>
    <r>
      <t>M</t>
    </r>
    <r>
      <rPr>
        <b/>
        <vertAlign val="subscript"/>
        <sz val="8"/>
        <rFont val="Arial"/>
        <family val="2"/>
      </rPr>
      <t>R</t>
    </r>
  </si>
  <si>
    <t>Resultant Moment</t>
  </si>
  <si>
    <t>4.</t>
  </si>
  <si>
    <t>Table of Allowable Force &amp; Moment</t>
  </si>
  <si>
    <t>Allowable Force</t>
  </si>
  <si>
    <t>Allowable Moment</t>
  </si>
  <si>
    <t>ID</t>
  </si>
  <si>
    <t>Size</t>
  </si>
  <si>
    <t>OD</t>
  </si>
  <si>
    <r>
      <t>F</t>
    </r>
    <r>
      <rPr>
        <b/>
        <vertAlign val="subscript"/>
        <sz val="8"/>
        <rFont val="Arial"/>
        <family val="2"/>
      </rPr>
      <t>RMAX</t>
    </r>
  </si>
  <si>
    <r>
      <t>M</t>
    </r>
    <r>
      <rPr>
        <b/>
        <vertAlign val="subscript"/>
        <sz val="8"/>
        <rFont val="Arial"/>
        <family val="2"/>
      </rPr>
      <t>RMAX</t>
    </r>
  </si>
  <si>
    <t>NPS</t>
  </si>
  <si>
    <t>a</t>
  </si>
  <si>
    <t>b</t>
  </si>
  <si>
    <t>D</t>
  </si>
  <si>
    <t>Limiting Ref. Stress</t>
  </si>
  <si>
    <t>Sch.</t>
  </si>
  <si>
    <t>t</t>
  </si>
  <si>
    <t>N - 1</t>
  </si>
  <si>
    <t>Notes</t>
  </si>
  <si>
    <t>Multiplication Factor</t>
  </si>
  <si>
    <t>=</t>
  </si>
  <si>
    <t>D      t  S  /  a</t>
  </si>
  <si>
    <t>Nozzle Size Factor</t>
  </si>
  <si>
    <t>Nominal Pipe Size</t>
  </si>
  <si>
    <t>D^2  t  S  /  b</t>
  </si>
  <si>
    <t>Nominal Thickness of the Nozzle Neck</t>
  </si>
  <si>
    <t>&lt;=</t>
  </si>
  <si>
    <t>4"</t>
  </si>
  <si>
    <t>8"</t>
  </si>
  <si>
    <t>&lt;</t>
  </si>
  <si>
    <t>%</t>
  </si>
  <si>
    <t>Max.</t>
  </si>
  <si>
    <t>S</t>
  </si>
  <si>
    <t>Limiting Reference Stress</t>
  </si>
  <si>
    <t>Force Multiplication Factor</t>
  </si>
  <si>
    <t>5.</t>
  </si>
  <si>
    <t>The external loads shall satisfy the following relation.</t>
  </si>
  <si>
    <r>
      <t>F</t>
    </r>
    <r>
      <rPr>
        <b/>
        <vertAlign val="subscript"/>
        <sz val="8"/>
        <rFont val="Arial"/>
        <family val="2"/>
      </rPr>
      <t>RE</t>
    </r>
  </si>
  <si>
    <t>+</t>
  </si>
  <si>
    <r>
      <t>M</t>
    </r>
    <r>
      <rPr>
        <b/>
        <vertAlign val="subscript"/>
        <sz val="8"/>
        <rFont val="Arial"/>
        <family val="2"/>
      </rPr>
      <t>RE</t>
    </r>
  </si>
  <si>
    <t>≤</t>
  </si>
  <si>
    <t>NPS +1</t>
  </si>
  <si>
    <t>(NPS+16)/3</t>
  </si>
  <si>
    <t>Where,</t>
  </si>
  <si>
    <t>Resultant Extermal Force</t>
  </si>
  <si>
    <r>
      <t xml:space="preserve">(  </t>
    </r>
    <r>
      <rPr>
        <b/>
        <sz val="8"/>
        <rFont val="Arial"/>
        <family val="2"/>
      </rPr>
      <t>F</t>
    </r>
    <r>
      <rPr>
        <b/>
        <vertAlign val="subscript"/>
        <sz val="8"/>
        <rFont val="Arial"/>
        <family val="2"/>
      </rPr>
      <t>R</t>
    </r>
    <r>
      <rPr>
        <sz val="8"/>
        <rFont val="Arial"/>
        <family val="2"/>
      </rPr>
      <t xml:space="preserve">^2   +  </t>
    </r>
    <r>
      <rPr>
        <b/>
        <sz val="8"/>
        <rFont val="Arial"/>
        <family val="2"/>
      </rPr>
      <t>F</t>
    </r>
    <r>
      <rPr>
        <b/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^2    +  </t>
    </r>
    <r>
      <rPr>
        <b/>
        <sz val="8"/>
        <rFont val="Arial"/>
        <family val="2"/>
      </rPr>
      <t>F</t>
    </r>
    <r>
      <rPr>
        <b/>
        <vertAlign val="subscript"/>
        <sz val="8"/>
        <rFont val="Arial"/>
        <family val="2"/>
      </rPr>
      <t>C</t>
    </r>
    <r>
      <rPr>
        <sz val="8"/>
        <rFont val="Arial"/>
        <family val="2"/>
      </rPr>
      <t>^2  )^0.5</t>
    </r>
  </si>
  <si>
    <t>Resultant Extermal Moment</t>
  </si>
  <si>
    <r>
      <t xml:space="preserve">(  </t>
    </r>
    <r>
      <rPr>
        <b/>
        <sz val="8"/>
        <rFont val="Arial"/>
        <family val="2"/>
      </rPr>
      <t>M</t>
    </r>
    <r>
      <rPr>
        <b/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^2  +  </t>
    </r>
    <r>
      <rPr>
        <b/>
        <sz val="8"/>
        <rFont val="Arial"/>
        <family val="2"/>
      </rPr>
      <t>M</t>
    </r>
    <r>
      <rPr>
        <b/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^2  +  </t>
    </r>
    <r>
      <rPr>
        <b/>
        <sz val="8"/>
        <rFont val="Arial"/>
        <family val="2"/>
      </rPr>
      <t>M</t>
    </r>
    <r>
      <rPr>
        <b/>
        <vertAlign val="subscript"/>
        <sz val="8"/>
        <rFont val="Arial"/>
        <family val="2"/>
      </rPr>
      <t>L</t>
    </r>
    <r>
      <rPr>
        <sz val="8"/>
        <rFont val="Arial"/>
        <family val="2"/>
      </rPr>
      <t>^2  )^0.5</t>
    </r>
  </si>
  <si>
    <t xml:space="preserve">   Code</t>
  </si>
  <si>
    <t>Pipe</t>
  </si>
  <si>
    <t>Plate</t>
  </si>
  <si>
    <t>2009.   1.   14.</t>
  </si>
  <si>
    <t>plate</t>
  </si>
  <si>
    <t>ID</t>
  </si>
  <si>
    <t>pipe</t>
  </si>
  <si>
    <t>Input</t>
  </si>
  <si>
    <t>36"</t>
  </si>
  <si>
    <t>48"</t>
  </si>
  <si>
    <t>10"</t>
  </si>
  <si>
    <t>TBL - ANL - 200</t>
  </si>
  <si>
    <t>A L L O W A B L E     N O Z Z L E     L O A D</t>
  </si>
  <si>
    <t>Doc. No.</t>
  </si>
  <si>
    <t>TBL - ANL - 200</t>
  </si>
  <si>
    <t>Project</t>
  </si>
  <si>
    <t>:</t>
  </si>
  <si>
    <t>Sheet No.</t>
  </si>
  <si>
    <t>of</t>
  </si>
  <si>
    <t>Item No.</t>
  </si>
  <si>
    <t>Date</t>
  </si>
  <si>
    <t>Service</t>
  </si>
  <si>
    <t>Revision</t>
  </si>
  <si>
    <t>1.</t>
  </si>
  <si>
    <t>Design Method</t>
  </si>
  <si>
    <t>Standard Nozzle Loading</t>
  </si>
  <si>
    <t>2.</t>
  </si>
  <si>
    <t>Design Data</t>
  </si>
  <si>
    <t>Design Pressure</t>
  </si>
  <si>
    <t>Design Temperature</t>
  </si>
  <si>
    <t>Nozzle</t>
  </si>
  <si>
    <t>Pipe</t>
  </si>
  <si>
    <t>Plate</t>
  </si>
  <si>
    <t xml:space="preserve">   Code</t>
  </si>
  <si>
    <t xml:space="preserve">   Material</t>
  </si>
  <si>
    <t xml:space="preserve">   Allowable Stress</t>
  </si>
  <si>
    <t>3.</t>
  </si>
  <si>
    <t>Nomenclature</t>
  </si>
  <si>
    <r>
      <t>F</t>
    </r>
    <r>
      <rPr>
        <b/>
        <vertAlign val="subscript"/>
        <sz val="8"/>
        <rFont val="Arial"/>
        <family val="2"/>
      </rPr>
      <t>RM</t>
    </r>
  </si>
  <si>
    <t>Radial Force</t>
  </si>
  <si>
    <r>
      <t>F</t>
    </r>
    <r>
      <rPr>
        <b/>
        <vertAlign val="subscript"/>
        <sz val="8"/>
        <rFont val="Arial"/>
        <family val="2"/>
      </rPr>
      <t>LM</t>
    </r>
  </si>
  <si>
    <t>Logitudinal Force</t>
  </si>
  <si>
    <r>
      <t>F</t>
    </r>
    <r>
      <rPr>
        <b/>
        <vertAlign val="subscript"/>
        <sz val="8"/>
        <rFont val="Arial"/>
        <family val="2"/>
      </rPr>
      <t>CM</t>
    </r>
  </si>
  <si>
    <t>Circumferential Force</t>
  </si>
  <si>
    <r>
      <t>F</t>
    </r>
    <r>
      <rPr>
        <b/>
        <vertAlign val="subscript"/>
        <sz val="8"/>
        <rFont val="Arial"/>
        <family val="2"/>
      </rPr>
      <t>R</t>
    </r>
  </si>
  <si>
    <t>Resultant Force</t>
  </si>
  <si>
    <r>
      <t>M</t>
    </r>
    <r>
      <rPr>
        <b/>
        <vertAlign val="subscript"/>
        <sz val="8"/>
        <rFont val="Arial"/>
        <family val="2"/>
      </rPr>
      <t>TM</t>
    </r>
  </si>
  <si>
    <t>Torsional Moment</t>
  </si>
  <si>
    <r>
      <t>M</t>
    </r>
    <r>
      <rPr>
        <b/>
        <vertAlign val="subscript"/>
        <sz val="8"/>
        <rFont val="Arial"/>
        <family val="2"/>
      </rPr>
      <t>CM</t>
    </r>
  </si>
  <si>
    <t>Circumferential Moment</t>
  </si>
  <si>
    <r>
      <t>M</t>
    </r>
    <r>
      <rPr>
        <b/>
        <vertAlign val="subscript"/>
        <sz val="8"/>
        <rFont val="Arial"/>
        <family val="2"/>
      </rPr>
      <t>LM</t>
    </r>
  </si>
  <si>
    <t>Logitudinal Moment</t>
  </si>
  <si>
    <r>
      <t>M</t>
    </r>
    <r>
      <rPr>
        <b/>
        <vertAlign val="subscript"/>
        <sz val="8"/>
        <rFont val="Arial"/>
        <family val="2"/>
      </rPr>
      <t>R</t>
    </r>
  </si>
  <si>
    <t>Resultant Moment</t>
  </si>
  <si>
    <t>4.</t>
  </si>
  <si>
    <t>Table of Allowable Force &amp; Moment</t>
  </si>
  <si>
    <t>Allowable Force</t>
  </si>
  <si>
    <t>Allowable Moment</t>
  </si>
  <si>
    <t>ID</t>
  </si>
  <si>
    <t>Size</t>
  </si>
  <si>
    <t>OD</t>
  </si>
  <si>
    <r>
      <t>F</t>
    </r>
    <r>
      <rPr>
        <b/>
        <vertAlign val="subscript"/>
        <sz val="8"/>
        <rFont val="Arial"/>
        <family val="2"/>
      </rPr>
      <t>RMAX</t>
    </r>
  </si>
  <si>
    <r>
      <t>M</t>
    </r>
    <r>
      <rPr>
        <b/>
        <vertAlign val="subscript"/>
        <sz val="8"/>
        <rFont val="Arial"/>
        <family val="2"/>
      </rPr>
      <t>RMAX</t>
    </r>
  </si>
  <si>
    <t>Input</t>
  </si>
  <si>
    <t>NPS</t>
  </si>
  <si>
    <t>a</t>
  </si>
  <si>
    <t>b</t>
  </si>
  <si>
    <t>D</t>
  </si>
  <si>
    <t>Limiting Ref. Stress</t>
  </si>
  <si>
    <t>Sch.</t>
  </si>
  <si>
    <t>t</t>
  </si>
  <si>
    <t>Notes</t>
  </si>
  <si>
    <t>Multiplication Factor</t>
  </si>
  <si>
    <t>=</t>
  </si>
  <si>
    <t>D      t  S  /  a</t>
  </si>
  <si>
    <t>Nozzle Size Factor</t>
  </si>
  <si>
    <t>Nominal Pipe Size</t>
  </si>
  <si>
    <t>D^2  t  S  /  b</t>
  </si>
  <si>
    <t>Nominal Thickness of the Nozzle Neck</t>
  </si>
  <si>
    <t>&lt;=</t>
  </si>
  <si>
    <t>4"</t>
  </si>
  <si>
    <t>8"</t>
  </si>
  <si>
    <t>&lt;</t>
  </si>
  <si>
    <t>%</t>
  </si>
  <si>
    <t>Max.</t>
  </si>
  <si>
    <t>S</t>
  </si>
  <si>
    <t>Limiting Reference Stress</t>
  </si>
  <si>
    <t>Force Multiplication Factor</t>
  </si>
  <si>
    <t>5.</t>
  </si>
  <si>
    <t>The external loads shall satisfy the following relation.</t>
  </si>
  <si>
    <r>
      <t>F</t>
    </r>
    <r>
      <rPr>
        <b/>
        <vertAlign val="subscript"/>
        <sz val="8"/>
        <rFont val="Arial"/>
        <family val="2"/>
      </rPr>
      <t>RE</t>
    </r>
  </si>
  <si>
    <t>+</t>
  </si>
  <si>
    <r>
      <t>M</t>
    </r>
    <r>
      <rPr>
        <b/>
        <vertAlign val="subscript"/>
        <sz val="8"/>
        <rFont val="Arial"/>
        <family val="2"/>
      </rPr>
      <t>RE</t>
    </r>
  </si>
  <si>
    <t>≤</t>
  </si>
  <si>
    <t>NPS +1</t>
  </si>
  <si>
    <t>(NPS+16)/3</t>
  </si>
  <si>
    <t>Where,</t>
  </si>
  <si>
    <t>Resultant Extermal Force</t>
  </si>
  <si>
    <r>
      <t xml:space="preserve">(  </t>
    </r>
    <r>
      <rPr>
        <b/>
        <sz val="8"/>
        <rFont val="Arial"/>
        <family val="2"/>
      </rPr>
      <t>F</t>
    </r>
    <r>
      <rPr>
        <b/>
        <vertAlign val="subscript"/>
        <sz val="8"/>
        <rFont val="Arial"/>
        <family val="2"/>
      </rPr>
      <t>R</t>
    </r>
    <r>
      <rPr>
        <sz val="8"/>
        <rFont val="Arial"/>
        <family val="2"/>
      </rPr>
      <t xml:space="preserve">^2   +  </t>
    </r>
    <r>
      <rPr>
        <b/>
        <sz val="8"/>
        <rFont val="Arial"/>
        <family val="2"/>
      </rPr>
      <t>F</t>
    </r>
    <r>
      <rPr>
        <b/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^2    +  </t>
    </r>
    <r>
      <rPr>
        <b/>
        <sz val="8"/>
        <rFont val="Arial"/>
        <family val="2"/>
      </rPr>
      <t>F</t>
    </r>
    <r>
      <rPr>
        <b/>
        <vertAlign val="subscript"/>
        <sz val="8"/>
        <rFont val="Arial"/>
        <family val="2"/>
      </rPr>
      <t>C</t>
    </r>
    <r>
      <rPr>
        <sz val="8"/>
        <rFont val="Arial"/>
        <family val="2"/>
      </rPr>
      <t>^2  )^0.5</t>
    </r>
  </si>
  <si>
    <t>Resultant Extermal Moment</t>
  </si>
  <si>
    <r>
      <t xml:space="preserve">(  </t>
    </r>
    <r>
      <rPr>
        <b/>
        <sz val="8"/>
        <rFont val="Arial"/>
        <family val="2"/>
      </rPr>
      <t>M</t>
    </r>
    <r>
      <rPr>
        <b/>
        <vertAlign val="subscript"/>
        <sz val="8"/>
        <rFont val="Arial"/>
        <family val="2"/>
      </rPr>
      <t>T</t>
    </r>
    <r>
      <rPr>
        <sz val="8"/>
        <rFont val="Arial"/>
        <family val="2"/>
      </rPr>
      <t xml:space="preserve">^2  +  </t>
    </r>
    <r>
      <rPr>
        <b/>
        <sz val="8"/>
        <rFont val="Arial"/>
        <family val="2"/>
      </rPr>
      <t>M</t>
    </r>
    <r>
      <rPr>
        <b/>
        <vertAlign val="subscript"/>
        <sz val="8"/>
        <rFont val="Arial"/>
        <family val="2"/>
      </rPr>
      <t>C</t>
    </r>
    <r>
      <rPr>
        <sz val="8"/>
        <rFont val="Arial"/>
        <family val="2"/>
      </rPr>
      <t xml:space="preserve">^2  +  </t>
    </r>
    <r>
      <rPr>
        <b/>
        <sz val="8"/>
        <rFont val="Arial"/>
        <family val="2"/>
      </rPr>
      <t>M</t>
    </r>
    <r>
      <rPr>
        <b/>
        <vertAlign val="subscript"/>
        <sz val="8"/>
        <rFont val="Arial"/>
        <family val="2"/>
      </rPr>
      <t>L</t>
    </r>
    <r>
      <rPr>
        <sz val="8"/>
        <rFont val="Arial"/>
        <family val="2"/>
      </rPr>
      <t>^2  )^0.5</t>
    </r>
  </si>
  <si>
    <t>Pardis 3rd Ammonia &amp; Urea Project</t>
  </si>
  <si>
    <t>3-E-1010</t>
  </si>
  <si>
    <t>Secondary Reformer WHB</t>
  </si>
  <si>
    <t>2013.   6.   3.</t>
  </si>
  <si>
    <t>bar.g</t>
  </si>
  <si>
    <t>A 387 11 CL.2</t>
  </si>
  <si>
    <t>A1</t>
  </si>
  <si>
    <t xml:space="preserve">Narai Thermal Engineering Services </t>
  </si>
</sst>
</file>

<file path=xl/styles.xml><?xml version="1.0" encoding="utf-8"?>
<styleSheet xmlns="http://schemas.openxmlformats.org/spreadsheetml/2006/main">
  <numFmts count="2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.000"/>
    <numFmt numFmtId="179" formatCode="0.0000"/>
    <numFmt numFmtId="180" formatCode="0.000_ "/>
    <numFmt numFmtId="181" formatCode="0.00_ "/>
    <numFmt numFmtId="182" formatCode="0.0000_ "/>
    <numFmt numFmtId="183" formatCode="0.0_ "/>
    <numFmt numFmtId="184" formatCode="0.000000_ "/>
    <numFmt numFmtId="185" formatCode="0.00000_ "/>
    <numFmt numFmtId="186" formatCode="#,##0.0_ "/>
    <numFmt numFmtId="187" formatCode="0_ "/>
    <numFmt numFmtId="188" formatCode="#,##0_);[Red]\(#,##0\)"/>
    <numFmt numFmtId="189" formatCode="#,##0.00_ "/>
    <numFmt numFmtId="190" formatCode="#,##0.000_ "/>
    <numFmt numFmtId="191" formatCode="#,##0.0000_ "/>
    <numFmt numFmtId="192" formatCode="#,##0.00000_ "/>
  </numFmts>
  <fonts count="20">
    <font>
      <sz val="11"/>
      <name val="돋움"/>
      <family val="3"/>
    </font>
    <font>
      <sz val="8"/>
      <name val="돋움"/>
      <family val="3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8"/>
      <name val="Arial"/>
      <family val="2"/>
    </font>
    <font>
      <b/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vertAlign val="subscript"/>
      <sz val="8"/>
      <name val="Arial"/>
      <family val="2"/>
    </font>
    <font>
      <b/>
      <vertAlign val="subscript"/>
      <sz val="8"/>
      <name val="Arial"/>
      <family val="2"/>
    </font>
    <font>
      <vertAlign val="superscript"/>
      <sz val="8"/>
      <name val="Arial"/>
      <family val="2"/>
    </font>
    <font>
      <b/>
      <sz val="7"/>
      <color indexed="10"/>
      <name val="Arial"/>
      <family val="2"/>
    </font>
    <font>
      <b/>
      <sz val="6"/>
      <name val="Arial"/>
      <family val="2"/>
    </font>
    <font>
      <vertAlign val="subscript"/>
      <sz val="8"/>
      <color indexed="10"/>
      <name val="Arial"/>
      <family val="2"/>
    </font>
    <font>
      <sz val="7.5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17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5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180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/>
    </xf>
    <xf numFmtId="18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83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18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188" fontId="2" fillId="0" borderId="0" xfId="0" applyNumberFormat="1" applyFont="1" applyAlignment="1">
      <alignment horizontal="center"/>
    </xf>
    <xf numFmtId="188" fontId="2" fillId="0" borderId="1" xfId="0" applyNumberFormat="1" applyFont="1" applyBorder="1" applyAlignment="1">
      <alignment horizontal="center"/>
    </xf>
    <xf numFmtId="181" fontId="2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83" fontId="3" fillId="0" borderId="16" xfId="0" applyNumberFormat="1" applyFont="1" applyBorder="1" applyAlignment="1">
      <alignment horizontal="center" vertical="center"/>
    </xf>
    <xf numFmtId="183" fontId="3" fillId="0" borderId="3" xfId="0" applyNumberFormat="1" applyFont="1" applyBorder="1" applyAlignment="1">
      <alignment horizontal="center" vertical="center"/>
    </xf>
    <xf numFmtId="183" fontId="3" fillId="0" borderId="19" xfId="0" applyNumberFormat="1" applyFont="1" applyBorder="1" applyAlignment="1">
      <alignment horizontal="center" vertical="center"/>
    </xf>
    <xf numFmtId="183" fontId="3" fillId="0" borderId="5" xfId="0" applyNumberFormat="1" applyFont="1" applyBorder="1" applyAlignment="1">
      <alignment horizontal="center" vertical="center"/>
    </xf>
    <xf numFmtId="183" fontId="3" fillId="0" borderId="4" xfId="0" applyNumberFormat="1" applyFont="1" applyBorder="1" applyAlignment="1">
      <alignment horizontal="center" vertical="center"/>
    </xf>
    <xf numFmtId="183" fontId="3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83" fontId="3" fillId="0" borderId="30" xfId="0" applyNumberFormat="1" applyFont="1" applyBorder="1" applyAlignment="1">
      <alignment horizontal="center" vertical="center"/>
    </xf>
    <xf numFmtId="183" fontId="3" fillId="0" borderId="2" xfId="0" applyNumberFormat="1" applyFont="1" applyBorder="1" applyAlignment="1">
      <alignment horizontal="center" vertical="center"/>
    </xf>
    <xf numFmtId="183" fontId="3" fillId="0" borderId="31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76" fontId="3" fillId="0" borderId="31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83" fontId="2" fillId="0" borderId="0" xfId="0" applyNumberFormat="1" applyFont="1" applyBorder="1" applyAlignment="1">
      <alignment horizontal="center" vertical="center"/>
    </xf>
    <xf numFmtId="183" fontId="17" fillId="0" borderId="30" xfId="0" applyNumberFormat="1" applyFont="1" applyBorder="1" applyAlignment="1">
      <alignment horizontal="center" vertical="center"/>
    </xf>
    <xf numFmtId="183" fontId="17" fillId="0" borderId="2" xfId="0" applyNumberFormat="1" applyFont="1" applyBorder="1" applyAlignment="1">
      <alignment horizontal="center" vertical="center"/>
    </xf>
    <xf numFmtId="183" fontId="17" fillId="0" borderId="31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83" fontId="2" fillId="0" borderId="5" xfId="0" applyNumberFormat="1" applyFont="1" applyBorder="1" applyAlignment="1">
      <alignment horizontal="center" vertical="center"/>
    </xf>
    <xf numFmtId="183" fontId="2" fillId="0" borderId="4" xfId="0" applyNumberFormat="1" applyFont="1" applyBorder="1" applyAlignment="1">
      <alignment horizontal="center" vertical="center"/>
    </xf>
    <xf numFmtId="183" fontId="2" fillId="0" borderId="20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83" fontId="2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87" fontId="3" fillId="0" borderId="5" xfId="0" applyNumberFormat="1" applyFont="1" applyBorder="1" applyAlignment="1">
      <alignment horizontal="center" vertical="center"/>
    </xf>
    <xf numFmtId="187" fontId="3" fillId="0" borderId="4" xfId="0" applyNumberFormat="1" applyFont="1" applyBorder="1" applyAlignment="1">
      <alignment horizontal="center" vertical="center"/>
    </xf>
    <xf numFmtId="187" fontId="3" fillId="0" borderId="20" xfId="0" applyNumberFormat="1" applyFont="1" applyBorder="1" applyAlignment="1">
      <alignment horizontal="center" vertical="center"/>
    </xf>
    <xf numFmtId="187" fontId="3" fillId="0" borderId="30" xfId="0" applyNumberFormat="1" applyFont="1" applyBorder="1" applyAlignment="1">
      <alignment horizontal="center" vertical="center"/>
    </xf>
    <xf numFmtId="187" fontId="3" fillId="0" borderId="2" xfId="0" applyNumberFormat="1" applyFont="1" applyBorder="1" applyAlignment="1">
      <alignment horizontal="center" vertical="center"/>
    </xf>
    <xf numFmtId="187" fontId="3" fillId="0" borderId="3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/>
              <a:t>Diagram of Allowable Nozzle Load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HEI!$AK$53:$AL$53</c:f>
              <c:numCache/>
            </c:numRef>
          </c:xVal>
          <c:yVal>
            <c:numRef>
              <c:f>HEI!$AK$52:$AL$52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HEI!$AK$62:$AL$62</c:f>
              <c:numCache/>
            </c:numRef>
          </c:xVal>
          <c:yVal>
            <c:numRef>
              <c:f>HEI!$AK$61:$AL$61</c:f>
              <c:numCache/>
            </c:numRef>
          </c:yVal>
          <c:smooth val="1"/>
        </c:ser>
        <c:axId val="46361906"/>
        <c:axId val="14603971"/>
      </c:scatterChart>
      <c:valAx>
        <c:axId val="46361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Allowable Moment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14603971"/>
        <c:crosses val="autoZero"/>
        <c:crossBetween val="midCat"/>
        <c:dispUnits/>
      </c:valAx>
      <c:valAx>
        <c:axId val="14603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Allowable 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463619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sng" baseline="0"/>
              <a:t>Diagram of Allowable Nozzle Load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'HEI 2'!$AK$53:$AL$53</c:f>
              <c:numCache/>
            </c:numRef>
          </c:xVal>
          <c:yVal>
            <c:numRef>
              <c:f>'HEI 2'!$AK$52:$AL$52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'HEI 2'!$AK$62:$AL$62</c:f>
              <c:numCache/>
            </c:numRef>
          </c:xVal>
          <c:yVal>
            <c:numRef>
              <c:f>'HEI 2'!$AK$61:$AL$61</c:f>
              <c:numCache/>
            </c:numRef>
          </c:yVal>
          <c:smooth val="1"/>
        </c:ser>
        <c:axId val="64326876"/>
        <c:axId val="42070973"/>
      </c:scatterChart>
      <c:valAx>
        <c:axId val="64326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Allowable Moment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42070973"/>
        <c:crosses val="autoZero"/>
        <c:crossBetween val="midCat"/>
        <c:dispUnits/>
      </c:valAx>
      <c:valAx>
        <c:axId val="42070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Allowable 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1" i="0" u="none" baseline="0"/>
            </a:pPr>
          </a:p>
        </c:txPr>
        <c:crossAx val="643268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5.emf" /><Relationship Id="rId3" Type="http://schemas.openxmlformats.org/officeDocument/2006/relationships/image" Target="../media/image30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Relationship Id="rId6" Type="http://schemas.openxmlformats.org/officeDocument/2006/relationships/image" Target="../media/image3.emf" /><Relationship Id="rId7" Type="http://schemas.openxmlformats.org/officeDocument/2006/relationships/image" Target="../media/image21.emf" /><Relationship Id="rId8" Type="http://schemas.openxmlformats.org/officeDocument/2006/relationships/image" Target="../media/image22.emf" /><Relationship Id="rId9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24.emf" /><Relationship Id="rId3" Type="http://schemas.openxmlformats.org/officeDocument/2006/relationships/image" Target="../media/image12.emf" /><Relationship Id="rId4" Type="http://schemas.openxmlformats.org/officeDocument/2006/relationships/image" Target="../media/image34.emf" /><Relationship Id="rId5" Type="http://schemas.openxmlformats.org/officeDocument/2006/relationships/image" Target="../media/image46.emf" /><Relationship Id="rId6" Type="http://schemas.openxmlformats.org/officeDocument/2006/relationships/image" Target="../media/image49.emf" /><Relationship Id="rId7" Type="http://schemas.openxmlformats.org/officeDocument/2006/relationships/image" Target="../media/image6.emf" /><Relationship Id="rId8" Type="http://schemas.openxmlformats.org/officeDocument/2006/relationships/image" Target="../media/image1.emf" /><Relationship Id="rId9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1.emf" /><Relationship Id="rId3" Type="http://schemas.openxmlformats.org/officeDocument/2006/relationships/image" Target="../media/image13.emf" /><Relationship Id="rId4" Type="http://schemas.openxmlformats.org/officeDocument/2006/relationships/image" Target="../media/image14.emf" /><Relationship Id="rId5" Type="http://schemas.openxmlformats.org/officeDocument/2006/relationships/image" Target="../media/image15.emf" /><Relationship Id="rId6" Type="http://schemas.openxmlformats.org/officeDocument/2006/relationships/image" Target="../media/image16.emf" /><Relationship Id="rId7" Type="http://schemas.openxmlformats.org/officeDocument/2006/relationships/image" Target="../media/image23.emf" /><Relationship Id="rId8" Type="http://schemas.openxmlformats.org/officeDocument/2006/relationships/image" Target="../media/image36.emf" /><Relationship Id="rId9" Type="http://schemas.openxmlformats.org/officeDocument/2006/relationships/image" Target="../media/image18.emf" /><Relationship Id="rId10" Type="http://schemas.openxmlformats.org/officeDocument/2006/relationships/image" Target="../media/image26.emf" /><Relationship Id="rId11" Type="http://schemas.openxmlformats.org/officeDocument/2006/relationships/image" Target="../media/image19.emf" /><Relationship Id="rId12" Type="http://schemas.openxmlformats.org/officeDocument/2006/relationships/image" Target="../media/image20.emf" /><Relationship Id="rId13" Type="http://schemas.openxmlformats.org/officeDocument/2006/relationships/image" Target="../media/image48.emf" /><Relationship Id="rId14" Type="http://schemas.openxmlformats.org/officeDocument/2006/relationships/image" Target="../media/image4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Relationship Id="rId2" Type="http://schemas.openxmlformats.org/officeDocument/2006/relationships/image" Target="../media/image44.emf" /><Relationship Id="rId3" Type="http://schemas.openxmlformats.org/officeDocument/2006/relationships/image" Target="../media/image41.emf" /><Relationship Id="rId4" Type="http://schemas.openxmlformats.org/officeDocument/2006/relationships/image" Target="../media/image40.emf" /><Relationship Id="rId5" Type="http://schemas.openxmlformats.org/officeDocument/2006/relationships/image" Target="../media/image39.emf" /><Relationship Id="rId6" Type="http://schemas.openxmlformats.org/officeDocument/2006/relationships/image" Target="../media/image37.emf" /><Relationship Id="rId7" Type="http://schemas.openxmlformats.org/officeDocument/2006/relationships/image" Target="../media/image38.emf" /><Relationship Id="rId8" Type="http://schemas.openxmlformats.org/officeDocument/2006/relationships/image" Target="../media/image35.emf" /><Relationship Id="rId9" Type="http://schemas.openxmlformats.org/officeDocument/2006/relationships/image" Target="../media/image33.emf" /><Relationship Id="rId10" Type="http://schemas.openxmlformats.org/officeDocument/2006/relationships/image" Target="../media/image32.emf" /><Relationship Id="rId11" Type="http://schemas.openxmlformats.org/officeDocument/2006/relationships/image" Target="../media/image42.emf" /><Relationship Id="rId12" Type="http://schemas.openxmlformats.org/officeDocument/2006/relationships/image" Target="../media/image43.emf" /><Relationship Id="rId13" Type="http://schemas.openxmlformats.org/officeDocument/2006/relationships/image" Target="../media/image8.emf" /><Relationship Id="rId14" Type="http://schemas.openxmlformats.org/officeDocument/2006/relationships/image" Target="../media/image31.emf" /><Relationship Id="rId15" Type="http://schemas.openxmlformats.org/officeDocument/2006/relationships/image" Target="../media/image67.emf" /><Relationship Id="rId16" Type="http://schemas.openxmlformats.org/officeDocument/2006/relationships/image" Target="../media/image52.emf" /><Relationship Id="rId17" Type="http://schemas.openxmlformats.org/officeDocument/2006/relationships/image" Target="../media/image76.emf" /><Relationship Id="rId18" Type="http://schemas.openxmlformats.org/officeDocument/2006/relationships/image" Target="../media/image2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58.emf" /><Relationship Id="rId3" Type="http://schemas.openxmlformats.org/officeDocument/2006/relationships/image" Target="../media/image5.emf" /><Relationship Id="rId4" Type="http://schemas.openxmlformats.org/officeDocument/2006/relationships/image" Target="../media/image50.emf" /><Relationship Id="rId5" Type="http://schemas.openxmlformats.org/officeDocument/2006/relationships/image" Target="../media/image51.emf" /><Relationship Id="rId6" Type="http://schemas.openxmlformats.org/officeDocument/2006/relationships/image" Target="../media/image70.emf" /><Relationship Id="rId7" Type="http://schemas.openxmlformats.org/officeDocument/2006/relationships/image" Target="../media/image68.emf" /><Relationship Id="rId8" Type="http://schemas.openxmlformats.org/officeDocument/2006/relationships/image" Target="../media/image54.emf" /><Relationship Id="rId9" Type="http://schemas.openxmlformats.org/officeDocument/2006/relationships/image" Target="../media/image55.emf" /><Relationship Id="rId10" Type="http://schemas.openxmlformats.org/officeDocument/2006/relationships/image" Target="../media/image71.emf" /><Relationship Id="rId11" Type="http://schemas.openxmlformats.org/officeDocument/2006/relationships/image" Target="../media/image57.emf" /><Relationship Id="rId12" Type="http://schemas.openxmlformats.org/officeDocument/2006/relationships/image" Target="../media/image56.emf" /><Relationship Id="rId13" Type="http://schemas.openxmlformats.org/officeDocument/2006/relationships/image" Target="../media/image60.emf" /><Relationship Id="rId14" Type="http://schemas.openxmlformats.org/officeDocument/2006/relationships/image" Target="../media/image59.emf" /><Relationship Id="rId15" Type="http://schemas.openxmlformats.org/officeDocument/2006/relationships/image" Target="../media/image61.emf" /><Relationship Id="rId16" Type="http://schemas.openxmlformats.org/officeDocument/2006/relationships/image" Target="../media/image62.emf" /><Relationship Id="rId17" Type="http://schemas.openxmlformats.org/officeDocument/2006/relationships/image" Target="../media/image63.emf" /><Relationship Id="rId18" Type="http://schemas.openxmlformats.org/officeDocument/2006/relationships/image" Target="../media/image64.emf" /><Relationship Id="rId19" Type="http://schemas.openxmlformats.org/officeDocument/2006/relationships/image" Target="../media/image65.emf" /><Relationship Id="rId20" Type="http://schemas.openxmlformats.org/officeDocument/2006/relationships/image" Target="../media/image66.emf" /><Relationship Id="rId21" Type="http://schemas.openxmlformats.org/officeDocument/2006/relationships/image" Target="../media/image72.emf" /><Relationship Id="rId22" Type="http://schemas.openxmlformats.org/officeDocument/2006/relationships/image" Target="../media/image53.emf" /><Relationship Id="rId23" Type="http://schemas.openxmlformats.org/officeDocument/2006/relationships/image" Target="../media/image69.emf" /><Relationship Id="rId24" Type="http://schemas.openxmlformats.org/officeDocument/2006/relationships/image" Target="../media/image73.emf" /><Relationship Id="rId25" Type="http://schemas.openxmlformats.org/officeDocument/2006/relationships/image" Target="../media/image74.emf" /><Relationship Id="rId26" Type="http://schemas.openxmlformats.org/officeDocument/2006/relationships/image" Target="../media/image75.emf" /><Relationship Id="rId27" Type="http://schemas.openxmlformats.org/officeDocument/2006/relationships/image" Target="../media/image8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4.emf" /><Relationship Id="rId2" Type="http://schemas.openxmlformats.org/officeDocument/2006/relationships/image" Target="../media/image93.emf" /><Relationship Id="rId3" Type="http://schemas.openxmlformats.org/officeDocument/2006/relationships/image" Target="../media/image78.emf" /><Relationship Id="rId4" Type="http://schemas.openxmlformats.org/officeDocument/2006/relationships/image" Target="../media/image79.emf" /><Relationship Id="rId5" Type="http://schemas.openxmlformats.org/officeDocument/2006/relationships/image" Target="../media/image88.emf" /><Relationship Id="rId6" Type="http://schemas.openxmlformats.org/officeDocument/2006/relationships/image" Target="../media/image81.emf" /><Relationship Id="rId7" Type="http://schemas.openxmlformats.org/officeDocument/2006/relationships/image" Target="../media/image101.emf" /><Relationship Id="rId8" Type="http://schemas.openxmlformats.org/officeDocument/2006/relationships/image" Target="../media/image92.emf" /><Relationship Id="rId9" Type="http://schemas.openxmlformats.org/officeDocument/2006/relationships/image" Target="../media/image91.emf" /><Relationship Id="rId10" Type="http://schemas.openxmlformats.org/officeDocument/2006/relationships/image" Target="../media/image83.emf" /><Relationship Id="rId11" Type="http://schemas.openxmlformats.org/officeDocument/2006/relationships/image" Target="../media/image84.emf" /><Relationship Id="rId12" Type="http://schemas.openxmlformats.org/officeDocument/2006/relationships/image" Target="../media/image86.emf" /><Relationship Id="rId13" Type="http://schemas.openxmlformats.org/officeDocument/2006/relationships/image" Target="../media/image89.emf" /><Relationship Id="rId14" Type="http://schemas.openxmlformats.org/officeDocument/2006/relationships/image" Target="../media/image90.emf" /><Relationship Id="rId15" Type="http://schemas.openxmlformats.org/officeDocument/2006/relationships/image" Target="../media/image102.emf" /><Relationship Id="rId16" Type="http://schemas.openxmlformats.org/officeDocument/2006/relationships/image" Target="../media/image10.emf" /><Relationship Id="rId17" Type="http://schemas.openxmlformats.org/officeDocument/2006/relationships/image" Target="../media/image85.emf" /><Relationship Id="rId18" Type="http://schemas.openxmlformats.org/officeDocument/2006/relationships/image" Target="../media/image87.emf" /><Relationship Id="rId19" Type="http://schemas.openxmlformats.org/officeDocument/2006/relationships/image" Target="../media/image77.emf" /><Relationship Id="rId20" Type="http://schemas.openxmlformats.org/officeDocument/2006/relationships/image" Target="../media/image17.emf" /><Relationship Id="rId21" Type="http://schemas.openxmlformats.org/officeDocument/2006/relationships/image" Target="../media/image80.emf" /><Relationship Id="rId22" Type="http://schemas.openxmlformats.org/officeDocument/2006/relationships/image" Target="../media/image95.emf" /><Relationship Id="rId23" Type="http://schemas.openxmlformats.org/officeDocument/2006/relationships/image" Target="../media/image96.emf" /><Relationship Id="rId24" Type="http://schemas.openxmlformats.org/officeDocument/2006/relationships/image" Target="../media/image97.emf" /><Relationship Id="rId25" Type="http://schemas.openxmlformats.org/officeDocument/2006/relationships/image" Target="../media/image98.emf" /><Relationship Id="rId26" Type="http://schemas.openxmlformats.org/officeDocument/2006/relationships/image" Target="../media/image99.emf" /><Relationship Id="rId27" Type="http://schemas.openxmlformats.org/officeDocument/2006/relationships/image" Target="../media/image10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14</xdr:row>
      <xdr:rowOff>0</xdr:rowOff>
    </xdr:from>
    <xdr:to>
      <xdr:col>22</xdr:col>
      <xdr:colOff>104775</xdr:colOff>
      <xdr:row>15</xdr:row>
      <xdr:rowOff>9525</xdr:rowOff>
    </xdr:to>
    <xdr:pic>
      <xdr:nvPicPr>
        <xdr:cNvPr id="1" name="Combo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733550"/>
          <a:ext cx="50482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13</xdr:row>
      <xdr:rowOff>0</xdr:rowOff>
    </xdr:from>
    <xdr:to>
      <xdr:col>23</xdr:col>
      <xdr:colOff>0</xdr:colOff>
      <xdr:row>14</xdr:row>
      <xdr:rowOff>9525</xdr:rowOff>
    </xdr:to>
    <xdr:pic>
      <xdr:nvPicPr>
        <xdr:cNvPr id="2" name="Combo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1609725"/>
          <a:ext cx="60007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0</xdr:colOff>
      <xdr:row>25</xdr:row>
      <xdr:rowOff>0</xdr:rowOff>
    </xdr:from>
    <xdr:to>
      <xdr:col>20</xdr:col>
      <xdr:colOff>0</xdr:colOff>
      <xdr:row>26</xdr:row>
      <xdr:rowOff>9525</xdr:rowOff>
    </xdr:to>
    <xdr:pic>
      <xdr:nvPicPr>
        <xdr:cNvPr id="3" name="ComboBox5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3095625"/>
          <a:ext cx="800100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0</xdr:colOff>
      <xdr:row>24</xdr:row>
      <xdr:rowOff>0</xdr:rowOff>
    </xdr:from>
    <xdr:to>
      <xdr:col>19</xdr:col>
      <xdr:colOff>0</xdr:colOff>
      <xdr:row>25</xdr:row>
      <xdr:rowOff>9525</xdr:rowOff>
    </xdr:to>
    <xdr:pic>
      <xdr:nvPicPr>
        <xdr:cNvPr id="4" name="ComboBox5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0400" y="2971800"/>
          <a:ext cx="60007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0</xdr:colOff>
      <xdr:row>26</xdr:row>
      <xdr:rowOff>0</xdr:rowOff>
    </xdr:from>
    <xdr:to>
      <xdr:col>19</xdr:col>
      <xdr:colOff>0</xdr:colOff>
      <xdr:row>27</xdr:row>
      <xdr:rowOff>9525</xdr:rowOff>
    </xdr:to>
    <xdr:pic>
      <xdr:nvPicPr>
        <xdr:cNvPr id="5" name="ComboBox5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00400" y="3219450"/>
          <a:ext cx="60007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0</xdr:colOff>
      <xdr:row>27</xdr:row>
      <xdr:rowOff>0</xdr:rowOff>
    </xdr:from>
    <xdr:to>
      <xdr:col>19</xdr:col>
      <xdr:colOff>0</xdr:colOff>
      <xdr:row>28</xdr:row>
      <xdr:rowOff>19050</xdr:rowOff>
    </xdr:to>
    <xdr:pic>
      <xdr:nvPicPr>
        <xdr:cNvPr id="6" name="ComboBox5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00400" y="3343275"/>
          <a:ext cx="60007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0</xdr:colOff>
      <xdr:row>16</xdr:row>
      <xdr:rowOff>0</xdr:rowOff>
    </xdr:from>
    <xdr:to>
      <xdr:col>20</xdr:col>
      <xdr:colOff>0</xdr:colOff>
      <xdr:row>17</xdr:row>
      <xdr:rowOff>28575</xdr:rowOff>
    </xdr:to>
    <xdr:pic>
      <xdr:nvPicPr>
        <xdr:cNvPr id="7" name="ComboBox1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00400" y="1981200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0</xdr:colOff>
      <xdr:row>15</xdr:row>
      <xdr:rowOff>0</xdr:rowOff>
    </xdr:from>
    <xdr:to>
      <xdr:col>19</xdr:col>
      <xdr:colOff>0</xdr:colOff>
      <xdr:row>16</xdr:row>
      <xdr:rowOff>9525</xdr:rowOff>
    </xdr:to>
    <xdr:pic>
      <xdr:nvPicPr>
        <xdr:cNvPr id="8" name="ComboBox1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00400" y="1857375"/>
          <a:ext cx="60007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123825</xdr:colOff>
      <xdr:row>54</xdr:row>
      <xdr:rowOff>0</xdr:rowOff>
    </xdr:from>
    <xdr:to>
      <xdr:col>18</xdr:col>
      <xdr:colOff>0</xdr:colOff>
      <xdr:row>72</xdr:row>
      <xdr:rowOff>0</xdr:rowOff>
    </xdr:to>
    <xdr:graphicFrame>
      <xdr:nvGraphicFramePr>
        <xdr:cNvPr id="9" name="Chart 10"/>
        <xdr:cNvGraphicFramePr/>
      </xdr:nvGraphicFramePr>
      <xdr:xfrm>
        <a:off x="123825" y="6772275"/>
        <a:ext cx="3476625" cy="2228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25</xdr:col>
      <xdr:colOff>0</xdr:colOff>
      <xdr:row>42</xdr:row>
      <xdr:rowOff>0</xdr:rowOff>
    </xdr:from>
    <xdr:to>
      <xdr:col>31</xdr:col>
      <xdr:colOff>0</xdr:colOff>
      <xdr:row>45</xdr:row>
      <xdr:rowOff>0</xdr:rowOff>
    </xdr:to>
    <xdr:sp>
      <xdr:nvSpPr>
        <xdr:cNvPr id="10" name="AutoShape 17"/>
        <xdr:cNvSpPr>
          <a:spLocks/>
        </xdr:cNvSpPr>
      </xdr:nvSpPr>
      <xdr:spPr>
        <a:xfrm rot="5400000">
          <a:off x="5000625" y="5200650"/>
          <a:ext cx="1200150" cy="371475"/>
        </a:xfrm>
        <a:prstGeom prst="can">
          <a:avLst>
            <a:gd name="adj" fmla="val -38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27</xdr:col>
      <xdr:colOff>95250</xdr:colOff>
      <xdr:row>38</xdr:row>
      <xdr:rowOff>76200</xdr:rowOff>
    </xdr:from>
    <xdr:to>
      <xdr:col>28</xdr:col>
      <xdr:colOff>95250</xdr:colOff>
      <xdr:row>42</xdr:row>
      <xdr:rowOff>47625</xdr:rowOff>
    </xdr:to>
    <xdr:sp>
      <xdr:nvSpPr>
        <xdr:cNvPr id="11" name="AutoShape 18"/>
        <xdr:cNvSpPr>
          <a:spLocks/>
        </xdr:cNvSpPr>
      </xdr:nvSpPr>
      <xdr:spPr>
        <a:xfrm>
          <a:off x="5495925" y="4781550"/>
          <a:ext cx="200025" cy="466725"/>
        </a:xfrm>
        <a:prstGeom prst="can">
          <a:avLst>
            <a:gd name="adj" fmla="val -30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28</xdr:col>
      <xdr:colOff>0</xdr:colOff>
      <xdr:row>36</xdr:row>
      <xdr:rowOff>0</xdr:rowOff>
    </xdr:from>
    <xdr:to>
      <xdr:col>28</xdr:col>
      <xdr:colOff>0</xdr:colOff>
      <xdr:row>39</xdr:row>
      <xdr:rowOff>0</xdr:rowOff>
    </xdr:to>
    <xdr:sp>
      <xdr:nvSpPr>
        <xdr:cNvPr id="12" name="Line 19"/>
        <xdr:cNvSpPr>
          <a:spLocks/>
        </xdr:cNvSpPr>
      </xdr:nvSpPr>
      <xdr:spPr>
        <a:xfrm flipV="1">
          <a:off x="5600700" y="44577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28</xdr:col>
      <xdr:colOff>0</xdr:colOff>
      <xdr:row>36</xdr:row>
      <xdr:rowOff>0</xdr:rowOff>
    </xdr:from>
    <xdr:to>
      <xdr:col>30</xdr:col>
      <xdr:colOff>0</xdr:colOff>
      <xdr:row>39</xdr:row>
      <xdr:rowOff>0</xdr:rowOff>
    </xdr:to>
    <xdr:sp>
      <xdr:nvSpPr>
        <xdr:cNvPr id="13" name="Line 20"/>
        <xdr:cNvSpPr>
          <a:spLocks/>
        </xdr:cNvSpPr>
      </xdr:nvSpPr>
      <xdr:spPr>
        <a:xfrm flipV="1">
          <a:off x="5600700" y="4457700"/>
          <a:ext cx="4000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28</xdr:col>
      <xdr:colOff>0</xdr:colOff>
      <xdr:row>39</xdr:row>
      <xdr:rowOff>0</xdr:rowOff>
    </xdr:from>
    <xdr:to>
      <xdr:col>31</xdr:col>
      <xdr:colOff>0</xdr:colOff>
      <xdr:row>39</xdr:row>
      <xdr:rowOff>0</xdr:rowOff>
    </xdr:to>
    <xdr:sp>
      <xdr:nvSpPr>
        <xdr:cNvPr id="14" name="Line 21"/>
        <xdr:cNvSpPr>
          <a:spLocks/>
        </xdr:cNvSpPr>
      </xdr:nvSpPr>
      <xdr:spPr>
        <a:xfrm>
          <a:off x="5600700" y="48291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30</xdr:col>
      <xdr:colOff>0</xdr:colOff>
      <xdr:row>38</xdr:row>
      <xdr:rowOff>9525</xdr:rowOff>
    </xdr:from>
    <xdr:to>
      <xdr:col>30</xdr:col>
      <xdr:colOff>104775</xdr:colOff>
      <xdr:row>39</xdr:row>
      <xdr:rowOff>114300</xdr:rowOff>
    </xdr:to>
    <xdr:sp>
      <xdr:nvSpPr>
        <xdr:cNvPr id="15" name="Arc 22"/>
        <xdr:cNvSpPr>
          <a:spLocks/>
        </xdr:cNvSpPr>
      </xdr:nvSpPr>
      <xdr:spPr>
        <a:xfrm flipH="1">
          <a:off x="6000750" y="4714875"/>
          <a:ext cx="104775" cy="228600"/>
        </a:xfrm>
        <a:prstGeom prst="arc">
          <a:avLst>
            <a:gd name="adj1" fmla="val -36985657"/>
            <a:gd name="adj2" fmla="val 41320120"/>
            <a:gd name="adj3" fmla="val 2236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28</xdr:col>
      <xdr:colOff>161925</xdr:colOff>
      <xdr:row>36</xdr:row>
      <xdr:rowOff>85725</xdr:rowOff>
    </xdr:from>
    <xdr:to>
      <xdr:col>29</xdr:col>
      <xdr:colOff>190500</xdr:colOff>
      <xdr:row>37</xdr:row>
      <xdr:rowOff>76200</xdr:rowOff>
    </xdr:to>
    <xdr:sp>
      <xdr:nvSpPr>
        <xdr:cNvPr id="16" name="Arc 24"/>
        <xdr:cNvSpPr>
          <a:spLocks/>
        </xdr:cNvSpPr>
      </xdr:nvSpPr>
      <xdr:spPr>
        <a:xfrm rot="16200000">
          <a:off x="5762625" y="4543425"/>
          <a:ext cx="228600" cy="114300"/>
        </a:xfrm>
        <a:prstGeom prst="arc">
          <a:avLst>
            <a:gd name="adj1" fmla="val 45031134"/>
            <a:gd name="adj2" fmla="val 35337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27</xdr:col>
      <xdr:colOff>47625</xdr:colOff>
      <xdr:row>34</xdr:row>
      <xdr:rowOff>85725</xdr:rowOff>
    </xdr:from>
    <xdr:to>
      <xdr:col>28</xdr:col>
      <xdr:colOff>142875</xdr:colOff>
      <xdr:row>35</xdr:row>
      <xdr:rowOff>104775</xdr:rowOff>
    </xdr:to>
    <xdr:sp>
      <xdr:nvSpPr>
        <xdr:cNvPr id="17" name="Rectangle 25"/>
        <xdr:cNvSpPr>
          <a:spLocks/>
        </xdr:cNvSpPr>
      </xdr:nvSpPr>
      <xdr:spPr>
        <a:xfrm>
          <a:off x="5448300" y="4295775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</a:t>
          </a:r>
          <a:r>
            <a:rPr lang="en-US" cap="none" sz="800" b="1" i="0" u="none" baseline="-25000"/>
            <a:t>RRF</a:t>
          </a:r>
        </a:p>
      </xdr:txBody>
    </xdr:sp>
    <xdr:clientData/>
  </xdr:twoCellAnchor>
  <xdr:twoCellAnchor>
    <xdr:from>
      <xdr:col>30</xdr:col>
      <xdr:colOff>28575</xdr:colOff>
      <xdr:row>40</xdr:row>
      <xdr:rowOff>9525</xdr:rowOff>
    </xdr:from>
    <xdr:to>
      <xdr:col>32</xdr:col>
      <xdr:colOff>28575</xdr:colOff>
      <xdr:row>41</xdr:row>
      <xdr:rowOff>28575</xdr:rowOff>
    </xdr:to>
    <xdr:sp>
      <xdr:nvSpPr>
        <xdr:cNvPr id="18" name="Rectangle 28"/>
        <xdr:cNvSpPr>
          <a:spLocks/>
        </xdr:cNvSpPr>
      </xdr:nvSpPr>
      <xdr:spPr>
        <a:xfrm>
          <a:off x="6029325" y="4962525"/>
          <a:ext cx="400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</a:t>
          </a:r>
          <a:r>
            <a:rPr lang="en-US" cap="none" sz="800" b="1" i="0" u="none" baseline="-25000"/>
            <a:t>RCM</a:t>
          </a:r>
        </a:p>
      </xdr:txBody>
    </xdr:sp>
    <xdr:clientData/>
  </xdr:twoCellAnchor>
  <xdr:twoCellAnchor>
    <xdr:from>
      <xdr:col>30</xdr:col>
      <xdr:colOff>0</xdr:colOff>
      <xdr:row>36</xdr:row>
      <xdr:rowOff>57150</xdr:rowOff>
    </xdr:from>
    <xdr:to>
      <xdr:col>32</xdr:col>
      <xdr:colOff>0</xdr:colOff>
      <xdr:row>37</xdr:row>
      <xdr:rowOff>76200</xdr:rowOff>
    </xdr:to>
    <xdr:sp>
      <xdr:nvSpPr>
        <xdr:cNvPr id="19" name="Rectangle 29"/>
        <xdr:cNvSpPr>
          <a:spLocks/>
        </xdr:cNvSpPr>
      </xdr:nvSpPr>
      <xdr:spPr>
        <a:xfrm>
          <a:off x="6000750" y="4514850"/>
          <a:ext cx="400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</a:t>
          </a:r>
          <a:r>
            <a:rPr lang="en-US" cap="none" sz="800" b="1" i="0" u="none" baseline="-25000"/>
            <a:t>RLM</a:t>
          </a:r>
        </a:p>
      </xdr:txBody>
    </xdr:sp>
    <xdr:clientData/>
  </xdr:twoCellAnchor>
  <xdr:twoCellAnchor>
    <xdr:from>
      <xdr:col>24</xdr:col>
      <xdr:colOff>171450</xdr:colOff>
      <xdr:row>43</xdr:row>
      <xdr:rowOff>57150</xdr:rowOff>
    </xdr:from>
    <xdr:to>
      <xdr:col>31</xdr:col>
      <xdr:colOff>28575</xdr:colOff>
      <xdr:row>43</xdr:row>
      <xdr:rowOff>57150</xdr:rowOff>
    </xdr:to>
    <xdr:sp>
      <xdr:nvSpPr>
        <xdr:cNvPr id="20" name="Line 31"/>
        <xdr:cNvSpPr>
          <a:spLocks/>
        </xdr:cNvSpPr>
      </xdr:nvSpPr>
      <xdr:spPr>
        <a:xfrm>
          <a:off x="4972050" y="53816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14</xdr:row>
      <xdr:rowOff>0</xdr:rowOff>
    </xdr:from>
    <xdr:to>
      <xdr:col>22</xdr:col>
      <xdr:colOff>104775</xdr:colOff>
      <xdr:row>15</xdr:row>
      <xdr:rowOff>9525</xdr:rowOff>
    </xdr:to>
    <xdr:pic>
      <xdr:nvPicPr>
        <xdr:cNvPr id="1" name="Combo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733550"/>
          <a:ext cx="50482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0</xdr:colOff>
      <xdr:row>13</xdr:row>
      <xdr:rowOff>0</xdr:rowOff>
    </xdr:from>
    <xdr:to>
      <xdr:col>23</xdr:col>
      <xdr:colOff>0</xdr:colOff>
      <xdr:row>14</xdr:row>
      <xdr:rowOff>9525</xdr:rowOff>
    </xdr:to>
    <xdr:pic>
      <xdr:nvPicPr>
        <xdr:cNvPr id="2" name="Combo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1609725"/>
          <a:ext cx="60007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0</xdr:colOff>
      <xdr:row>25</xdr:row>
      <xdr:rowOff>0</xdr:rowOff>
    </xdr:from>
    <xdr:to>
      <xdr:col>20</xdr:col>
      <xdr:colOff>0</xdr:colOff>
      <xdr:row>26</xdr:row>
      <xdr:rowOff>9525</xdr:rowOff>
    </xdr:to>
    <xdr:pic>
      <xdr:nvPicPr>
        <xdr:cNvPr id="3" name="ComboBox5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3095625"/>
          <a:ext cx="800100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0</xdr:colOff>
      <xdr:row>24</xdr:row>
      <xdr:rowOff>0</xdr:rowOff>
    </xdr:from>
    <xdr:to>
      <xdr:col>19</xdr:col>
      <xdr:colOff>0</xdr:colOff>
      <xdr:row>25</xdr:row>
      <xdr:rowOff>9525</xdr:rowOff>
    </xdr:to>
    <xdr:pic>
      <xdr:nvPicPr>
        <xdr:cNvPr id="4" name="ComboBox5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00400" y="2971800"/>
          <a:ext cx="60007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0</xdr:colOff>
      <xdr:row>26</xdr:row>
      <xdr:rowOff>0</xdr:rowOff>
    </xdr:from>
    <xdr:to>
      <xdr:col>19</xdr:col>
      <xdr:colOff>0</xdr:colOff>
      <xdr:row>27</xdr:row>
      <xdr:rowOff>9525</xdr:rowOff>
    </xdr:to>
    <xdr:pic>
      <xdr:nvPicPr>
        <xdr:cNvPr id="5" name="ComboBox5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00400" y="3219450"/>
          <a:ext cx="60007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0</xdr:colOff>
      <xdr:row>27</xdr:row>
      <xdr:rowOff>0</xdr:rowOff>
    </xdr:from>
    <xdr:to>
      <xdr:col>19</xdr:col>
      <xdr:colOff>0</xdr:colOff>
      <xdr:row>28</xdr:row>
      <xdr:rowOff>19050</xdr:rowOff>
    </xdr:to>
    <xdr:pic>
      <xdr:nvPicPr>
        <xdr:cNvPr id="6" name="ComboBox5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00400" y="3343275"/>
          <a:ext cx="60007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0</xdr:colOff>
      <xdr:row>16</xdr:row>
      <xdr:rowOff>0</xdr:rowOff>
    </xdr:from>
    <xdr:to>
      <xdr:col>20</xdr:col>
      <xdr:colOff>0</xdr:colOff>
      <xdr:row>17</xdr:row>
      <xdr:rowOff>28575</xdr:rowOff>
    </xdr:to>
    <xdr:pic>
      <xdr:nvPicPr>
        <xdr:cNvPr id="7" name="ComboBox1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00400" y="1981200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0</xdr:colOff>
      <xdr:row>15</xdr:row>
      <xdr:rowOff>0</xdr:rowOff>
    </xdr:from>
    <xdr:to>
      <xdr:col>19</xdr:col>
      <xdr:colOff>0</xdr:colOff>
      <xdr:row>16</xdr:row>
      <xdr:rowOff>9525</xdr:rowOff>
    </xdr:to>
    <xdr:pic>
      <xdr:nvPicPr>
        <xdr:cNvPr id="8" name="ComboBox1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00400" y="1857375"/>
          <a:ext cx="60007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123825</xdr:colOff>
      <xdr:row>54</xdr:row>
      <xdr:rowOff>0</xdr:rowOff>
    </xdr:from>
    <xdr:to>
      <xdr:col>18</xdr:col>
      <xdr:colOff>0</xdr:colOff>
      <xdr:row>72</xdr:row>
      <xdr:rowOff>0</xdr:rowOff>
    </xdr:to>
    <xdr:graphicFrame>
      <xdr:nvGraphicFramePr>
        <xdr:cNvPr id="9" name="Chart 9"/>
        <xdr:cNvGraphicFramePr/>
      </xdr:nvGraphicFramePr>
      <xdr:xfrm>
        <a:off x="123825" y="6772275"/>
        <a:ext cx="3476625" cy="2228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25</xdr:col>
      <xdr:colOff>0</xdr:colOff>
      <xdr:row>42</xdr:row>
      <xdr:rowOff>0</xdr:rowOff>
    </xdr:from>
    <xdr:to>
      <xdr:col>31</xdr:col>
      <xdr:colOff>0</xdr:colOff>
      <xdr:row>45</xdr:row>
      <xdr:rowOff>0</xdr:rowOff>
    </xdr:to>
    <xdr:sp>
      <xdr:nvSpPr>
        <xdr:cNvPr id="10" name="AutoShape 21"/>
        <xdr:cNvSpPr>
          <a:spLocks/>
        </xdr:cNvSpPr>
      </xdr:nvSpPr>
      <xdr:spPr>
        <a:xfrm rot="5400000">
          <a:off x="5000625" y="5200650"/>
          <a:ext cx="1200150" cy="371475"/>
        </a:xfrm>
        <a:prstGeom prst="can">
          <a:avLst>
            <a:gd name="adj" fmla="val -38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27</xdr:col>
      <xdr:colOff>95250</xdr:colOff>
      <xdr:row>38</xdr:row>
      <xdr:rowOff>76200</xdr:rowOff>
    </xdr:from>
    <xdr:to>
      <xdr:col>28</xdr:col>
      <xdr:colOff>95250</xdr:colOff>
      <xdr:row>42</xdr:row>
      <xdr:rowOff>47625</xdr:rowOff>
    </xdr:to>
    <xdr:sp>
      <xdr:nvSpPr>
        <xdr:cNvPr id="11" name="AutoShape 22"/>
        <xdr:cNvSpPr>
          <a:spLocks/>
        </xdr:cNvSpPr>
      </xdr:nvSpPr>
      <xdr:spPr>
        <a:xfrm>
          <a:off x="5495925" y="4781550"/>
          <a:ext cx="200025" cy="466725"/>
        </a:xfrm>
        <a:prstGeom prst="can">
          <a:avLst>
            <a:gd name="adj" fmla="val -30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28</xdr:col>
      <xdr:colOff>0</xdr:colOff>
      <xdr:row>36</xdr:row>
      <xdr:rowOff>0</xdr:rowOff>
    </xdr:from>
    <xdr:to>
      <xdr:col>28</xdr:col>
      <xdr:colOff>0</xdr:colOff>
      <xdr:row>39</xdr:row>
      <xdr:rowOff>0</xdr:rowOff>
    </xdr:to>
    <xdr:sp>
      <xdr:nvSpPr>
        <xdr:cNvPr id="12" name="Line 23"/>
        <xdr:cNvSpPr>
          <a:spLocks/>
        </xdr:cNvSpPr>
      </xdr:nvSpPr>
      <xdr:spPr>
        <a:xfrm flipV="1">
          <a:off x="5600700" y="44577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28</xdr:col>
      <xdr:colOff>0</xdr:colOff>
      <xdr:row>36</xdr:row>
      <xdr:rowOff>0</xdr:rowOff>
    </xdr:from>
    <xdr:to>
      <xdr:col>30</xdr:col>
      <xdr:colOff>0</xdr:colOff>
      <xdr:row>39</xdr:row>
      <xdr:rowOff>0</xdr:rowOff>
    </xdr:to>
    <xdr:sp>
      <xdr:nvSpPr>
        <xdr:cNvPr id="13" name="Line 24"/>
        <xdr:cNvSpPr>
          <a:spLocks/>
        </xdr:cNvSpPr>
      </xdr:nvSpPr>
      <xdr:spPr>
        <a:xfrm flipV="1">
          <a:off x="5600700" y="4457700"/>
          <a:ext cx="4000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28</xdr:col>
      <xdr:colOff>0</xdr:colOff>
      <xdr:row>39</xdr:row>
      <xdr:rowOff>0</xdr:rowOff>
    </xdr:from>
    <xdr:to>
      <xdr:col>31</xdr:col>
      <xdr:colOff>0</xdr:colOff>
      <xdr:row>39</xdr:row>
      <xdr:rowOff>0</xdr:rowOff>
    </xdr:to>
    <xdr:sp>
      <xdr:nvSpPr>
        <xdr:cNvPr id="14" name="Line 25"/>
        <xdr:cNvSpPr>
          <a:spLocks/>
        </xdr:cNvSpPr>
      </xdr:nvSpPr>
      <xdr:spPr>
        <a:xfrm>
          <a:off x="5600700" y="48291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30</xdr:col>
      <xdr:colOff>0</xdr:colOff>
      <xdr:row>38</xdr:row>
      <xdr:rowOff>9525</xdr:rowOff>
    </xdr:from>
    <xdr:to>
      <xdr:col>30</xdr:col>
      <xdr:colOff>104775</xdr:colOff>
      <xdr:row>39</xdr:row>
      <xdr:rowOff>114300</xdr:rowOff>
    </xdr:to>
    <xdr:sp>
      <xdr:nvSpPr>
        <xdr:cNvPr id="15" name="Arc 26"/>
        <xdr:cNvSpPr>
          <a:spLocks/>
        </xdr:cNvSpPr>
      </xdr:nvSpPr>
      <xdr:spPr>
        <a:xfrm flipH="1">
          <a:off x="6000750" y="4714875"/>
          <a:ext cx="104775" cy="228600"/>
        </a:xfrm>
        <a:prstGeom prst="arc">
          <a:avLst>
            <a:gd name="adj1" fmla="val -36985657"/>
            <a:gd name="adj2" fmla="val 41320120"/>
            <a:gd name="adj3" fmla="val 2236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28</xdr:col>
      <xdr:colOff>161925</xdr:colOff>
      <xdr:row>36</xdr:row>
      <xdr:rowOff>85725</xdr:rowOff>
    </xdr:from>
    <xdr:to>
      <xdr:col>29</xdr:col>
      <xdr:colOff>190500</xdr:colOff>
      <xdr:row>37</xdr:row>
      <xdr:rowOff>76200</xdr:rowOff>
    </xdr:to>
    <xdr:sp>
      <xdr:nvSpPr>
        <xdr:cNvPr id="16" name="Arc 27"/>
        <xdr:cNvSpPr>
          <a:spLocks/>
        </xdr:cNvSpPr>
      </xdr:nvSpPr>
      <xdr:spPr>
        <a:xfrm rot="16200000">
          <a:off x="5762625" y="4543425"/>
          <a:ext cx="228600" cy="114300"/>
        </a:xfrm>
        <a:prstGeom prst="arc">
          <a:avLst>
            <a:gd name="adj1" fmla="val 45031134"/>
            <a:gd name="adj2" fmla="val 35337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27</xdr:col>
      <xdr:colOff>47625</xdr:colOff>
      <xdr:row>34</xdr:row>
      <xdr:rowOff>85725</xdr:rowOff>
    </xdr:from>
    <xdr:to>
      <xdr:col>28</xdr:col>
      <xdr:colOff>142875</xdr:colOff>
      <xdr:row>35</xdr:row>
      <xdr:rowOff>104775</xdr:rowOff>
    </xdr:to>
    <xdr:sp>
      <xdr:nvSpPr>
        <xdr:cNvPr id="17" name="Rectangle 28"/>
        <xdr:cNvSpPr>
          <a:spLocks/>
        </xdr:cNvSpPr>
      </xdr:nvSpPr>
      <xdr:spPr>
        <a:xfrm>
          <a:off x="5448300" y="4295775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</a:t>
          </a:r>
          <a:r>
            <a:rPr lang="en-US" cap="none" sz="800" b="1" i="0" u="none" baseline="-25000"/>
            <a:t>RRF</a:t>
          </a:r>
        </a:p>
      </xdr:txBody>
    </xdr:sp>
    <xdr:clientData/>
  </xdr:twoCellAnchor>
  <xdr:twoCellAnchor>
    <xdr:from>
      <xdr:col>30</xdr:col>
      <xdr:colOff>57150</xdr:colOff>
      <xdr:row>40</xdr:row>
      <xdr:rowOff>9525</xdr:rowOff>
    </xdr:from>
    <xdr:to>
      <xdr:col>32</xdr:col>
      <xdr:colOff>57150</xdr:colOff>
      <xdr:row>41</xdr:row>
      <xdr:rowOff>28575</xdr:rowOff>
    </xdr:to>
    <xdr:sp>
      <xdr:nvSpPr>
        <xdr:cNvPr id="18" name="Rectangle 29"/>
        <xdr:cNvSpPr>
          <a:spLocks/>
        </xdr:cNvSpPr>
      </xdr:nvSpPr>
      <xdr:spPr>
        <a:xfrm>
          <a:off x="6057900" y="4962525"/>
          <a:ext cx="400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</a:t>
          </a:r>
          <a:r>
            <a:rPr lang="en-US" cap="none" sz="800" b="1" i="0" u="none" baseline="-25000"/>
            <a:t>RCM</a:t>
          </a:r>
        </a:p>
      </xdr:txBody>
    </xdr:sp>
    <xdr:clientData/>
  </xdr:twoCellAnchor>
  <xdr:twoCellAnchor>
    <xdr:from>
      <xdr:col>30</xdr:col>
      <xdr:colOff>0</xdr:colOff>
      <xdr:row>36</xdr:row>
      <xdr:rowOff>57150</xdr:rowOff>
    </xdr:from>
    <xdr:to>
      <xdr:col>32</xdr:col>
      <xdr:colOff>0</xdr:colOff>
      <xdr:row>37</xdr:row>
      <xdr:rowOff>76200</xdr:rowOff>
    </xdr:to>
    <xdr:sp>
      <xdr:nvSpPr>
        <xdr:cNvPr id="19" name="Rectangle 30"/>
        <xdr:cNvSpPr>
          <a:spLocks/>
        </xdr:cNvSpPr>
      </xdr:nvSpPr>
      <xdr:spPr>
        <a:xfrm>
          <a:off x="6000750" y="4514850"/>
          <a:ext cx="400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</a:t>
          </a:r>
          <a:r>
            <a:rPr lang="en-US" cap="none" sz="800" b="1" i="0" u="none" baseline="-25000"/>
            <a:t>RLM</a:t>
          </a:r>
        </a:p>
      </xdr:txBody>
    </xdr:sp>
    <xdr:clientData/>
  </xdr:twoCellAnchor>
  <xdr:twoCellAnchor>
    <xdr:from>
      <xdr:col>24</xdr:col>
      <xdr:colOff>171450</xdr:colOff>
      <xdr:row>43</xdr:row>
      <xdr:rowOff>57150</xdr:rowOff>
    </xdr:from>
    <xdr:to>
      <xdr:col>31</xdr:col>
      <xdr:colOff>28575</xdr:colOff>
      <xdr:row>43</xdr:row>
      <xdr:rowOff>57150</xdr:rowOff>
    </xdr:to>
    <xdr:sp>
      <xdr:nvSpPr>
        <xdr:cNvPr id="20" name="Line 31"/>
        <xdr:cNvSpPr>
          <a:spLocks/>
        </xdr:cNvSpPr>
      </xdr:nvSpPr>
      <xdr:spPr>
        <a:xfrm>
          <a:off x="4972050" y="53816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13</xdr:row>
      <xdr:rowOff>0</xdr:rowOff>
    </xdr:from>
    <xdr:to>
      <xdr:col>19</xdr:col>
      <xdr:colOff>104775</xdr:colOff>
      <xdr:row>14</xdr:row>
      <xdr:rowOff>19050</xdr:rowOff>
    </xdr:to>
    <xdr:pic>
      <xdr:nvPicPr>
        <xdr:cNvPr id="1" name="Combo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1609725"/>
          <a:ext cx="50482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12</xdr:row>
      <xdr:rowOff>0</xdr:rowOff>
    </xdr:from>
    <xdr:to>
      <xdr:col>20</xdr:col>
      <xdr:colOff>0</xdr:colOff>
      <xdr:row>13</xdr:row>
      <xdr:rowOff>9525</xdr:rowOff>
    </xdr:to>
    <xdr:pic>
      <xdr:nvPicPr>
        <xdr:cNvPr id="2" name="Combo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1485900"/>
          <a:ext cx="60007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16</xdr:row>
      <xdr:rowOff>0</xdr:rowOff>
    </xdr:from>
    <xdr:to>
      <xdr:col>17</xdr:col>
      <xdr:colOff>0</xdr:colOff>
      <xdr:row>17</xdr:row>
      <xdr:rowOff>19050</xdr:rowOff>
    </xdr:to>
    <xdr:pic>
      <xdr:nvPicPr>
        <xdr:cNvPr id="3" name="ComboBox1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1981200"/>
          <a:ext cx="80010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15</xdr:row>
      <xdr:rowOff>0</xdr:rowOff>
    </xdr:from>
    <xdr:to>
      <xdr:col>16</xdr:col>
      <xdr:colOff>0</xdr:colOff>
      <xdr:row>16</xdr:row>
      <xdr:rowOff>9525</xdr:rowOff>
    </xdr:to>
    <xdr:pic>
      <xdr:nvPicPr>
        <xdr:cNvPr id="4" name="ComboBox1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1857375"/>
          <a:ext cx="60007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26</xdr:row>
      <xdr:rowOff>0</xdr:rowOff>
    </xdr:from>
    <xdr:to>
      <xdr:col>17</xdr:col>
      <xdr:colOff>0</xdr:colOff>
      <xdr:row>27</xdr:row>
      <xdr:rowOff>19050</xdr:rowOff>
    </xdr:to>
    <xdr:pic>
      <xdr:nvPicPr>
        <xdr:cNvPr id="5" name="ComboBox5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00325" y="3219450"/>
          <a:ext cx="80010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25</xdr:row>
      <xdr:rowOff>0</xdr:rowOff>
    </xdr:from>
    <xdr:to>
      <xdr:col>16</xdr:col>
      <xdr:colOff>0</xdr:colOff>
      <xdr:row>26</xdr:row>
      <xdr:rowOff>9525</xdr:rowOff>
    </xdr:to>
    <xdr:pic>
      <xdr:nvPicPr>
        <xdr:cNvPr id="6" name="ComboBox50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0325" y="3095625"/>
          <a:ext cx="60007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45</xdr:row>
      <xdr:rowOff>0</xdr:rowOff>
    </xdr:from>
    <xdr:to>
      <xdr:col>7</xdr:col>
      <xdr:colOff>76200</xdr:colOff>
      <xdr:row>47</xdr:row>
      <xdr:rowOff>0</xdr:rowOff>
    </xdr:to>
    <xdr:pic>
      <xdr:nvPicPr>
        <xdr:cNvPr id="7" name="ComboBox5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00125" y="5572125"/>
          <a:ext cx="4762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35</xdr:col>
      <xdr:colOff>0</xdr:colOff>
      <xdr:row>45</xdr:row>
      <xdr:rowOff>0</xdr:rowOff>
    </xdr:from>
    <xdr:to>
      <xdr:col>38</xdr:col>
      <xdr:colOff>0</xdr:colOff>
      <xdr:row>46</xdr:row>
      <xdr:rowOff>38100</xdr:rowOff>
    </xdr:to>
    <xdr:pic>
      <xdr:nvPicPr>
        <xdr:cNvPr id="8" name="ComboBox5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00875" y="5572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21</xdr:col>
      <xdr:colOff>0</xdr:colOff>
      <xdr:row>36</xdr:row>
      <xdr:rowOff>0</xdr:rowOff>
    </xdr:from>
    <xdr:to>
      <xdr:col>27</xdr:col>
      <xdr:colOff>0</xdr:colOff>
      <xdr:row>39</xdr:row>
      <xdr:rowOff>0</xdr:rowOff>
    </xdr:to>
    <xdr:sp>
      <xdr:nvSpPr>
        <xdr:cNvPr id="9" name="AutoShape 9"/>
        <xdr:cNvSpPr>
          <a:spLocks/>
        </xdr:cNvSpPr>
      </xdr:nvSpPr>
      <xdr:spPr>
        <a:xfrm rot="5400000">
          <a:off x="4200525" y="4457700"/>
          <a:ext cx="1200150" cy="371475"/>
        </a:xfrm>
        <a:prstGeom prst="can">
          <a:avLst>
            <a:gd name="adj" fmla="val -38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23</xdr:col>
      <xdr:colOff>95250</xdr:colOff>
      <xdr:row>32</xdr:row>
      <xdr:rowOff>76200</xdr:rowOff>
    </xdr:from>
    <xdr:to>
      <xdr:col>24</xdr:col>
      <xdr:colOff>95250</xdr:colOff>
      <xdr:row>36</xdr:row>
      <xdr:rowOff>47625</xdr:rowOff>
    </xdr:to>
    <xdr:sp>
      <xdr:nvSpPr>
        <xdr:cNvPr id="10" name="AutoShape 10"/>
        <xdr:cNvSpPr>
          <a:spLocks/>
        </xdr:cNvSpPr>
      </xdr:nvSpPr>
      <xdr:spPr>
        <a:xfrm>
          <a:off x="4695825" y="4038600"/>
          <a:ext cx="200025" cy="466725"/>
        </a:xfrm>
        <a:prstGeom prst="can">
          <a:avLst>
            <a:gd name="adj" fmla="val -30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24</xdr:col>
      <xdr:colOff>0</xdr:colOff>
      <xdr:row>33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4800600" y="37147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26</xdr:col>
      <xdr:colOff>0</xdr:colOff>
      <xdr:row>33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4800600" y="3714750"/>
          <a:ext cx="4000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0</xdr:colOff>
      <xdr:row>33</xdr:row>
      <xdr:rowOff>0</xdr:rowOff>
    </xdr:from>
    <xdr:to>
      <xdr:col>27</xdr:col>
      <xdr:colOff>0</xdr:colOff>
      <xdr:row>33</xdr:row>
      <xdr:rowOff>0</xdr:rowOff>
    </xdr:to>
    <xdr:sp>
      <xdr:nvSpPr>
        <xdr:cNvPr id="13" name="Line 13"/>
        <xdr:cNvSpPr>
          <a:spLocks/>
        </xdr:cNvSpPr>
      </xdr:nvSpPr>
      <xdr:spPr>
        <a:xfrm>
          <a:off x="4800600" y="40862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0</xdr:colOff>
      <xdr:row>32</xdr:row>
      <xdr:rowOff>9525</xdr:rowOff>
    </xdr:from>
    <xdr:to>
      <xdr:col>26</xdr:col>
      <xdr:colOff>104775</xdr:colOff>
      <xdr:row>33</xdr:row>
      <xdr:rowOff>114300</xdr:rowOff>
    </xdr:to>
    <xdr:sp>
      <xdr:nvSpPr>
        <xdr:cNvPr id="14" name="Arc 14"/>
        <xdr:cNvSpPr>
          <a:spLocks/>
        </xdr:cNvSpPr>
      </xdr:nvSpPr>
      <xdr:spPr>
        <a:xfrm flipH="1">
          <a:off x="5200650" y="3971925"/>
          <a:ext cx="104775" cy="228600"/>
        </a:xfrm>
        <a:prstGeom prst="arc">
          <a:avLst>
            <a:gd name="adj1" fmla="val -36985657"/>
            <a:gd name="adj2" fmla="val 41320120"/>
            <a:gd name="adj3" fmla="val 2236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23</xdr:col>
      <xdr:colOff>76200</xdr:colOff>
      <xdr:row>31</xdr:row>
      <xdr:rowOff>0</xdr:rowOff>
    </xdr:from>
    <xdr:to>
      <xdr:col>24</xdr:col>
      <xdr:colOff>104775</xdr:colOff>
      <xdr:row>31</xdr:row>
      <xdr:rowOff>104775</xdr:rowOff>
    </xdr:to>
    <xdr:sp>
      <xdr:nvSpPr>
        <xdr:cNvPr id="15" name="Arc 15"/>
        <xdr:cNvSpPr>
          <a:spLocks/>
        </xdr:cNvSpPr>
      </xdr:nvSpPr>
      <xdr:spPr>
        <a:xfrm rot="5400000">
          <a:off x="4676775" y="3838575"/>
          <a:ext cx="228600" cy="104775"/>
        </a:xfrm>
        <a:prstGeom prst="arc">
          <a:avLst>
            <a:gd name="adj1" fmla="val -38355296"/>
            <a:gd name="adj2" fmla="val 42486027"/>
            <a:gd name="adj3" fmla="val 2682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161925</xdr:colOff>
      <xdr:row>30</xdr:row>
      <xdr:rowOff>85725</xdr:rowOff>
    </xdr:from>
    <xdr:to>
      <xdr:col>25</xdr:col>
      <xdr:colOff>190500</xdr:colOff>
      <xdr:row>31</xdr:row>
      <xdr:rowOff>76200</xdr:rowOff>
    </xdr:to>
    <xdr:sp>
      <xdr:nvSpPr>
        <xdr:cNvPr id="16" name="Arc 16"/>
        <xdr:cNvSpPr>
          <a:spLocks/>
        </xdr:cNvSpPr>
      </xdr:nvSpPr>
      <xdr:spPr>
        <a:xfrm rot="16200000">
          <a:off x="4962525" y="3800475"/>
          <a:ext cx="228600" cy="114300"/>
        </a:xfrm>
        <a:prstGeom prst="arc">
          <a:avLst>
            <a:gd name="adj1" fmla="val 45031134"/>
            <a:gd name="adj2" fmla="val 35337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23</xdr:col>
      <xdr:colOff>47625</xdr:colOff>
      <xdr:row>28</xdr:row>
      <xdr:rowOff>85725</xdr:rowOff>
    </xdr:from>
    <xdr:to>
      <xdr:col>24</xdr:col>
      <xdr:colOff>142875</xdr:colOff>
      <xdr:row>29</xdr:row>
      <xdr:rowOff>104775</xdr:rowOff>
    </xdr:to>
    <xdr:sp>
      <xdr:nvSpPr>
        <xdr:cNvPr id="17" name="Rectangle 17"/>
        <xdr:cNvSpPr>
          <a:spLocks/>
        </xdr:cNvSpPr>
      </xdr:nvSpPr>
      <xdr:spPr>
        <a:xfrm>
          <a:off x="4648200" y="3552825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</a:t>
          </a:r>
          <a:r>
            <a:rPr lang="en-US" cap="none" sz="800" b="1" i="0" u="none" baseline="-25000"/>
            <a:t>RM</a:t>
          </a:r>
        </a:p>
      </xdr:txBody>
    </xdr:sp>
    <xdr:clientData/>
  </xdr:twoCellAnchor>
  <xdr:twoCellAnchor>
    <xdr:from>
      <xdr:col>26</xdr:col>
      <xdr:colOff>0</xdr:colOff>
      <xdr:row>28</xdr:row>
      <xdr:rowOff>104775</xdr:rowOff>
    </xdr:from>
    <xdr:to>
      <xdr:col>27</xdr:col>
      <xdr:colOff>95250</xdr:colOff>
      <xdr:row>30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200650" y="3571875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</a:t>
          </a:r>
          <a:r>
            <a:rPr lang="en-US" cap="none" sz="800" b="1" i="0" u="none" baseline="-25000"/>
            <a:t>CM</a:t>
          </a:r>
        </a:p>
      </xdr:txBody>
    </xdr:sp>
    <xdr:clientData/>
  </xdr:twoCellAnchor>
  <xdr:twoCellAnchor>
    <xdr:from>
      <xdr:col>27</xdr:col>
      <xdr:colOff>0</xdr:colOff>
      <xdr:row>31</xdr:row>
      <xdr:rowOff>104775</xdr:rowOff>
    </xdr:from>
    <xdr:to>
      <xdr:col>28</xdr:col>
      <xdr:colOff>95250</xdr:colOff>
      <xdr:row>33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5400675" y="3943350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</a:t>
          </a:r>
          <a:r>
            <a:rPr lang="en-US" cap="none" sz="800" b="1" i="0" u="none" baseline="-25000"/>
            <a:t>LM</a:t>
          </a:r>
        </a:p>
      </xdr:txBody>
    </xdr:sp>
    <xdr:clientData/>
  </xdr:twoCellAnchor>
  <xdr:twoCellAnchor>
    <xdr:from>
      <xdr:col>27</xdr:col>
      <xdr:colOff>0</xdr:colOff>
      <xdr:row>32</xdr:row>
      <xdr:rowOff>104775</xdr:rowOff>
    </xdr:from>
    <xdr:to>
      <xdr:col>28</xdr:col>
      <xdr:colOff>95250</xdr:colOff>
      <xdr:row>34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5400675" y="4067175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</a:t>
          </a:r>
          <a:r>
            <a:rPr lang="en-US" cap="none" sz="800" b="1" i="0" u="none" baseline="-25000"/>
            <a:t>CM</a:t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27</xdr:col>
      <xdr:colOff>95250</xdr:colOff>
      <xdr:row>31</xdr:row>
      <xdr:rowOff>19050</xdr:rowOff>
    </xdr:to>
    <xdr:sp>
      <xdr:nvSpPr>
        <xdr:cNvPr id="21" name="Rectangle 21"/>
        <xdr:cNvSpPr>
          <a:spLocks/>
        </xdr:cNvSpPr>
      </xdr:nvSpPr>
      <xdr:spPr>
        <a:xfrm>
          <a:off x="5200650" y="3714750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</a:t>
          </a:r>
          <a:r>
            <a:rPr lang="en-US" cap="none" sz="800" b="1" i="0" u="none" baseline="-25000"/>
            <a:t>LM</a:t>
          </a:r>
        </a:p>
      </xdr:txBody>
    </xdr:sp>
    <xdr:clientData/>
  </xdr:twoCellAnchor>
  <xdr:twoCellAnchor>
    <xdr:from>
      <xdr:col>21</xdr:col>
      <xdr:colOff>171450</xdr:colOff>
      <xdr:row>29</xdr:row>
      <xdr:rowOff>104775</xdr:rowOff>
    </xdr:from>
    <xdr:to>
      <xdr:col>23</xdr:col>
      <xdr:colOff>66675</xdr:colOff>
      <xdr:row>31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371975" y="3695700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</a:t>
          </a:r>
          <a:r>
            <a:rPr lang="en-US" cap="none" sz="800" b="1" i="0" u="none" baseline="-25000"/>
            <a:t>TM</a:t>
          </a:r>
        </a:p>
      </xdr:txBody>
    </xdr:sp>
    <xdr:clientData/>
  </xdr:twoCellAnchor>
  <xdr:twoCellAnchor editAs="oneCell">
    <xdr:from>
      <xdr:col>5</xdr:col>
      <xdr:colOff>0</xdr:colOff>
      <xdr:row>47</xdr:row>
      <xdr:rowOff>0</xdr:rowOff>
    </xdr:from>
    <xdr:to>
      <xdr:col>7</xdr:col>
      <xdr:colOff>66675</xdr:colOff>
      <xdr:row>49</xdr:row>
      <xdr:rowOff>0</xdr:rowOff>
    </xdr:to>
    <xdr:pic>
      <xdr:nvPicPr>
        <xdr:cNvPr id="23" name="ComboBox5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00125" y="5819775"/>
          <a:ext cx="4667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49</xdr:row>
      <xdr:rowOff>0</xdr:rowOff>
    </xdr:from>
    <xdr:to>
      <xdr:col>7</xdr:col>
      <xdr:colOff>57150</xdr:colOff>
      <xdr:row>51</xdr:row>
      <xdr:rowOff>0</xdr:rowOff>
    </xdr:to>
    <xdr:pic>
      <xdr:nvPicPr>
        <xdr:cNvPr id="24" name="ComboBox53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00125" y="6067425"/>
          <a:ext cx="4572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51</xdr:row>
      <xdr:rowOff>0</xdr:rowOff>
    </xdr:from>
    <xdr:to>
      <xdr:col>7</xdr:col>
      <xdr:colOff>57150</xdr:colOff>
      <xdr:row>53</xdr:row>
      <xdr:rowOff>0</xdr:rowOff>
    </xdr:to>
    <xdr:pic>
      <xdr:nvPicPr>
        <xdr:cNvPr id="25" name="ComboBox5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0125" y="6315075"/>
          <a:ext cx="4572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53</xdr:row>
      <xdr:rowOff>0</xdr:rowOff>
    </xdr:from>
    <xdr:to>
      <xdr:col>7</xdr:col>
      <xdr:colOff>57150</xdr:colOff>
      <xdr:row>55</xdr:row>
      <xdr:rowOff>0</xdr:rowOff>
    </xdr:to>
    <xdr:pic>
      <xdr:nvPicPr>
        <xdr:cNvPr id="26" name="ComboBox55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00125" y="6562725"/>
          <a:ext cx="4572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55</xdr:row>
      <xdr:rowOff>0</xdr:rowOff>
    </xdr:from>
    <xdr:to>
      <xdr:col>7</xdr:col>
      <xdr:colOff>57150</xdr:colOff>
      <xdr:row>57</xdr:row>
      <xdr:rowOff>0</xdr:rowOff>
    </xdr:to>
    <xdr:pic>
      <xdr:nvPicPr>
        <xdr:cNvPr id="27" name="ComboBox56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00125" y="6810375"/>
          <a:ext cx="4572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57</xdr:row>
      <xdr:rowOff>0</xdr:rowOff>
    </xdr:from>
    <xdr:to>
      <xdr:col>7</xdr:col>
      <xdr:colOff>57150</xdr:colOff>
      <xdr:row>59</xdr:row>
      <xdr:rowOff>0</xdr:rowOff>
    </xdr:to>
    <xdr:pic>
      <xdr:nvPicPr>
        <xdr:cNvPr id="28" name="ComboBox57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0125" y="7058025"/>
          <a:ext cx="45720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20</xdr:col>
      <xdr:colOff>171450</xdr:colOff>
      <xdr:row>37</xdr:row>
      <xdr:rowOff>57150</xdr:rowOff>
    </xdr:from>
    <xdr:to>
      <xdr:col>27</xdr:col>
      <xdr:colOff>28575</xdr:colOff>
      <xdr:row>37</xdr:row>
      <xdr:rowOff>57150</xdr:rowOff>
    </xdr:to>
    <xdr:sp>
      <xdr:nvSpPr>
        <xdr:cNvPr id="29" name="Line 131"/>
        <xdr:cNvSpPr>
          <a:spLocks/>
        </xdr:cNvSpPr>
      </xdr:nvSpPr>
      <xdr:spPr>
        <a:xfrm>
          <a:off x="4171950" y="46386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18</xdr:row>
      <xdr:rowOff>0</xdr:rowOff>
    </xdr:from>
    <xdr:to>
      <xdr:col>19</xdr:col>
      <xdr:colOff>104775</xdr:colOff>
      <xdr:row>19</xdr:row>
      <xdr:rowOff>19050</xdr:rowOff>
    </xdr:to>
    <xdr:pic>
      <xdr:nvPicPr>
        <xdr:cNvPr id="1" name="Combo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228850"/>
          <a:ext cx="50482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17</xdr:row>
      <xdr:rowOff>0</xdr:rowOff>
    </xdr:from>
    <xdr:to>
      <xdr:col>20</xdr:col>
      <xdr:colOff>0</xdr:colOff>
      <xdr:row>18</xdr:row>
      <xdr:rowOff>9525</xdr:rowOff>
    </xdr:to>
    <xdr:pic>
      <xdr:nvPicPr>
        <xdr:cNvPr id="2" name="Combo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2105025"/>
          <a:ext cx="60007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21</xdr:row>
      <xdr:rowOff>0</xdr:rowOff>
    </xdr:from>
    <xdr:to>
      <xdr:col>17</xdr:col>
      <xdr:colOff>0</xdr:colOff>
      <xdr:row>22</xdr:row>
      <xdr:rowOff>19050</xdr:rowOff>
    </xdr:to>
    <xdr:pic>
      <xdr:nvPicPr>
        <xdr:cNvPr id="3" name="ComboBox5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00325" y="2600325"/>
          <a:ext cx="80010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20</xdr:row>
      <xdr:rowOff>0</xdr:rowOff>
    </xdr:from>
    <xdr:to>
      <xdr:col>16</xdr:col>
      <xdr:colOff>0</xdr:colOff>
      <xdr:row>21</xdr:row>
      <xdr:rowOff>9525</xdr:rowOff>
    </xdr:to>
    <xdr:pic>
      <xdr:nvPicPr>
        <xdr:cNvPr id="4" name="ComboBox5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0325" y="2476500"/>
          <a:ext cx="60007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123825</xdr:colOff>
      <xdr:row>43</xdr:row>
      <xdr:rowOff>0</xdr:rowOff>
    </xdr:from>
    <xdr:to>
      <xdr:col>7</xdr:col>
      <xdr:colOff>57150</xdr:colOff>
      <xdr:row>44</xdr:row>
      <xdr:rowOff>0</xdr:rowOff>
    </xdr:to>
    <xdr:pic>
      <xdr:nvPicPr>
        <xdr:cNvPr id="5" name="ComboBox5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5324475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123825</xdr:colOff>
      <xdr:row>44</xdr:row>
      <xdr:rowOff>0</xdr:rowOff>
    </xdr:from>
    <xdr:to>
      <xdr:col>7</xdr:col>
      <xdr:colOff>57150</xdr:colOff>
      <xdr:row>45</xdr:row>
      <xdr:rowOff>0</xdr:rowOff>
    </xdr:to>
    <xdr:pic>
      <xdr:nvPicPr>
        <xdr:cNvPr id="6" name="ComboBox5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3925" y="5476875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21</xdr:col>
      <xdr:colOff>0</xdr:colOff>
      <xdr:row>33</xdr:row>
      <xdr:rowOff>0</xdr:rowOff>
    </xdr:from>
    <xdr:to>
      <xdr:col>27</xdr:col>
      <xdr:colOff>0</xdr:colOff>
      <xdr:row>36</xdr:row>
      <xdr:rowOff>0</xdr:rowOff>
    </xdr:to>
    <xdr:sp>
      <xdr:nvSpPr>
        <xdr:cNvPr id="7" name="AutoShape 9"/>
        <xdr:cNvSpPr>
          <a:spLocks/>
        </xdr:cNvSpPr>
      </xdr:nvSpPr>
      <xdr:spPr>
        <a:xfrm rot="5400000">
          <a:off x="4200525" y="4086225"/>
          <a:ext cx="1200150" cy="371475"/>
        </a:xfrm>
        <a:prstGeom prst="can">
          <a:avLst>
            <a:gd name="adj" fmla="val -38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23</xdr:col>
      <xdr:colOff>95250</xdr:colOff>
      <xdr:row>29</xdr:row>
      <xdr:rowOff>76200</xdr:rowOff>
    </xdr:from>
    <xdr:to>
      <xdr:col>24</xdr:col>
      <xdr:colOff>95250</xdr:colOff>
      <xdr:row>33</xdr:row>
      <xdr:rowOff>47625</xdr:rowOff>
    </xdr:to>
    <xdr:sp>
      <xdr:nvSpPr>
        <xdr:cNvPr id="8" name="AutoShape 10"/>
        <xdr:cNvSpPr>
          <a:spLocks/>
        </xdr:cNvSpPr>
      </xdr:nvSpPr>
      <xdr:spPr>
        <a:xfrm>
          <a:off x="4695825" y="3667125"/>
          <a:ext cx="200025" cy="466725"/>
        </a:xfrm>
        <a:prstGeom prst="can">
          <a:avLst>
            <a:gd name="adj" fmla="val -30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0</xdr:rowOff>
    </xdr:from>
    <xdr:to>
      <xdr:col>24</xdr:col>
      <xdr:colOff>0</xdr:colOff>
      <xdr:row>30</xdr:row>
      <xdr:rowOff>0</xdr:rowOff>
    </xdr:to>
    <xdr:sp>
      <xdr:nvSpPr>
        <xdr:cNvPr id="9" name="Line 11"/>
        <xdr:cNvSpPr>
          <a:spLocks/>
        </xdr:cNvSpPr>
      </xdr:nvSpPr>
      <xdr:spPr>
        <a:xfrm flipV="1">
          <a:off x="4800600" y="33432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0</xdr:rowOff>
    </xdr:from>
    <xdr:to>
      <xdr:col>26</xdr:col>
      <xdr:colOff>0</xdr:colOff>
      <xdr:row>30</xdr:row>
      <xdr:rowOff>0</xdr:rowOff>
    </xdr:to>
    <xdr:sp>
      <xdr:nvSpPr>
        <xdr:cNvPr id="10" name="Line 12"/>
        <xdr:cNvSpPr>
          <a:spLocks/>
        </xdr:cNvSpPr>
      </xdr:nvSpPr>
      <xdr:spPr>
        <a:xfrm flipV="1">
          <a:off x="4800600" y="3343275"/>
          <a:ext cx="4000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27</xdr:col>
      <xdr:colOff>0</xdr:colOff>
      <xdr:row>30</xdr:row>
      <xdr:rowOff>0</xdr:rowOff>
    </xdr:to>
    <xdr:sp>
      <xdr:nvSpPr>
        <xdr:cNvPr id="11" name="Line 13"/>
        <xdr:cNvSpPr>
          <a:spLocks/>
        </xdr:cNvSpPr>
      </xdr:nvSpPr>
      <xdr:spPr>
        <a:xfrm>
          <a:off x="4800600" y="37147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0</xdr:colOff>
      <xdr:row>29</xdr:row>
      <xdr:rowOff>9525</xdr:rowOff>
    </xdr:from>
    <xdr:to>
      <xdr:col>26</xdr:col>
      <xdr:colOff>104775</xdr:colOff>
      <xdr:row>30</xdr:row>
      <xdr:rowOff>114300</xdr:rowOff>
    </xdr:to>
    <xdr:sp>
      <xdr:nvSpPr>
        <xdr:cNvPr id="12" name="Arc 14"/>
        <xdr:cNvSpPr>
          <a:spLocks/>
        </xdr:cNvSpPr>
      </xdr:nvSpPr>
      <xdr:spPr>
        <a:xfrm flipH="1">
          <a:off x="5200650" y="3600450"/>
          <a:ext cx="104775" cy="228600"/>
        </a:xfrm>
        <a:prstGeom prst="arc">
          <a:avLst>
            <a:gd name="adj1" fmla="val -36985657"/>
            <a:gd name="adj2" fmla="val 41320120"/>
            <a:gd name="adj3" fmla="val 2236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23</xdr:col>
      <xdr:colOff>76200</xdr:colOff>
      <xdr:row>28</xdr:row>
      <xdr:rowOff>0</xdr:rowOff>
    </xdr:from>
    <xdr:to>
      <xdr:col>24</xdr:col>
      <xdr:colOff>104775</xdr:colOff>
      <xdr:row>28</xdr:row>
      <xdr:rowOff>104775</xdr:rowOff>
    </xdr:to>
    <xdr:sp>
      <xdr:nvSpPr>
        <xdr:cNvPr id="13" name="Arc 15"/>
        <xdr:cNvSpPr>
          <a:spLocks/>
        </xdr:cNvSpPr>
      </xdr:nvSpPr>
      <xdr:spPr>
        <a:xfrm rot="5400000">
          <a:off x="4676775" y="3467100"/>
          <a:ext cx="228600" cy="104775"/>
        </a:xfrm>
        <a:prstGeom prst="arc">
          <a:avLst>
            <a:gd name="adj1" fmla="val -38355296"/>
            <a:gd name="adj2" fmla="val 42486027"/>
            <a:gd name="adj3" fmla="val 2682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161925</xdr:colOff>
      <xdr:row>27</xdr:row>
      <xdr:rowOff>85725</xdr:rowOff>
    </xdr:from>
    <xdr:to>
      <xdr:col>25</xdr:col>
      <xdr:colOff>190500</xdr:colOff>
      <xdr:row>28</xdr:row>
      <xdr:rowOff>76200</xdr:rowOff>
    </xdr:to>
    <xdr:sp>
      <xdr:nvSpPr>
        <xdr:cNvPr id="14" name="Arc 16"/>
        <xdr:cNvSpPr>
          <a:spLocks/>
        </xdr:cNvSpPr>
      </xdr:nvSpPr>
      <xdr:spPr>
        <a:xfrm rot="16200000">
          <a:off x="4962525" y="3429000"/>
          <a:ext cx="228600" cy="114300"/>
        </a:xfrm>
        <a:prstGeom prst="arc">
          <a:avLst>
            <a:gd name="adj1" fmla="val 45031134"/>
            <a:gd name="adj2" fmla="val 35337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23</xdr:col>
      <xdr:colOff>47625</xdr:colOff>
      <xdr:row>25</xdr:row>
      <xdr:rowOff>85725</xdr:rowOff>
    </xdr:from>
    <xdr:to>
      <xdr:col>24</xdr:col>
      <xdr:colOff>142875</xdr:colOff>
      <xdr:row>26</xdr:row>
      <xdr:rowOff>104775</xdr:rowOff>
    </xdr:to>
    <xdr:sp>
      <xdr:nvSpPr>
        <xdr:cNvPr id="15" name="Rectangle 17"/>
        <xdr:cNvSpPr>
          <a:spLocks/>
        </xdr:cNvSpPr>
      </xdr:nvSpPr>
      <xdr:spPr>
        <a:xfrm>
          <a:off x="4648200" y="3181350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</a:t>
          </a:r>
          <a:r>
            <a:rPr lang="en-US" cap="none" sz="800" b="1" i="0" u="none" baseline="-25000"/>
            <a:t>RM</a:t>
          </a:r>
        </a:p>
      </xdr:txBody>
    </xdr:sp>
    <xdr:clientData/>
  </xdr:twoCellAnchor>
  <xdr:twoCellAnchor>
    <xdr:from>
      <xdr:col>26</xdr:col>
      <xdr:colOff>0</xdr:colOff>
      <xdr:row>25</xdr:row>
      <xdr:rowOff>104775</xdr:rowOff>
    </xdr:from>
    <xdr:to>
      <xdr:col>27</xdr:col>
      <xdr:colOff>95250</xdr:colOff>
      <xdr:row>27</xdr:row>
      <xdr:rowOff>0</xdr:rowOff>
    </xdr:to>
    <xdr:sp>
      <xdr:nvSpPr>
        <xdr:cNvPr id="16" name="Rectangle 18"/>
        <xdr:cNvSpPr>
          <a:spLocks/>
        </xdr:cNvSpPr>
      </xdr:nvSpPr>
      <xdr:spPr>
        <a:xfrm>
          <a:off x="5200650" y="3200400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</a:t>
          </a:r>
          <a:r>
            <a:rPr lang="en-US" cap="none" sz="800" b="1" i="0" u="none" baseline="-25000"/>
            <a:t>CM</a:t>
          </a:r>
        </a:p>
      </xdr:txBody>
    </xdr:sp>
    <xdr:clientData/>
  </xdr:twoCellAnchor>
  <xdr:twoCellAnchor>
    <xdr:from>
      <xdr:col>27</xdr:col>
      <xdr:colOff>0</xdr:colOff>
      <xdr:row>28</xdr:row>
      <xdr:rowOff>104775</xdr:rowOff>
    </xdr:from>
    <xdr:to>
      <xdr:col>28</xdr:col>
      <xdr:colOff>95250</xdr:colOff>
      <xdr:row>30</xdr:row>
      <xdr:rowOff>0</xdr:rowOff>
    </xdr:to>
    <xdr:sp>
      <xdr:nvSpPr>
        <xdr:cNvPr id="17" name="Rectangle 19"/>
        <xdr:cNvSpPr>
          <a:spLocks/>
        </xdr:cNvSpPr>
      </xdr:nvSpPr>
      <xdr:spPr>
        <a:xfrm>
          <a:off x="5400675" y="3571875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</a:t>
          </a:r>
          <a:r>
            <a:rPr lang="en-US" cap="none" sz="800" b="1" i="0" u="none" baseline="-25000"/>
            <a:t>LM</a:t>
          </a:r>
        </a:p>
      </xdr:txBody>
    </xdr:sp>
    <xdr:clientData/>
  </xdr:twoCellAnchor>
  <xdr:twoCellAnchor>
    <xdr:from>
      <xdr:col>27</xdr:col>
      <xdr:colOff>0</xdr:colOff>
      <xdr:row>29</xdr:row>
      <xdr:rowOff>104775</xdr:rowOff>
    </xdr:from>
    <xdr:to>
      <xdr:col>28</xdr:col>
      <xdr:colOff>95250</xdr:colOff>
      <xdr:row>31</xdr:row>
      <xdr:rowOff>0</xdr:rowOff>
    </xdr:to>
    <xdr:sp>
      <xdr:nvSpPr>
        <xdr:cNvPr id="18" name="Rectangle 20"/>
        <xdr:cNvSpPr>
          <a:spLocks/>
        </xdr:cNvSpPr>
      </xdr:nvSpPr>
      <xdr:spPr>
        <a:xfrm>
          <a:off x="5400675" y="3695700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</a:t>
          </a:r>
          <a:r>
            <a:rPr lang="en-US" cap="none" sz="800" b="1" i="0" u="none" baseline="-25000"/>
            <a:t>CM</a:t>
          </a:r>
        </a:p>
      </xdr:txBody>
    </xdr:sp>
    <xdr:clientData/>
  </xdr:twoCellAnchor>
  <xdr:twoCellAnchor>
    <xdr:from>
      <xdr:col>26</xdr:col>
      <xdr:colOff>0</xdr:colOff>
      <xdr:row>27</xdr:row>
      <xdr:rowOff>0</xdr:rowOff>
    </xdr:from>
    <xdr:to>
      <xdr:col>27</xdr:col>
      <xdr:colOff>95250</xdr:colOff>
      <xdr:row>28</xdr:row>
      <xdr:rowOff>19050</xdr:rowOff>
    </xdr:to>
    <xdr:sp>
      <xdr:nvSpPr>
        <xdr:cNvPr id="19" name="Rectangle 21"/>
        <xdr:cNvSpPr>
          <a:spLocks/>
        </xdr:cNvSpPr>
      </xdr:nvSpPr>
      <xdr:spPr>
        <a:xfrm>
          <a:off x="5200650" y="3343275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</a:t>
          </a:r>
          <a:r>
            <a:rPr lang="en-US" cap="none" sz="800" b="1" i="0" u="none" baseline="-25000"/>
            <a:t>LM</a:t>
          </a:r>
        </a:p>
      </xdr:txBody>
    </xdr:sp>
    <xdr:clientData/>
  </xdr:twoCellAnchor>
  <xdr:twoCellAnchor>
    <xdr:from>
      <xdr:col>21</xdr:col>
      <xdr:colOff>171450</xdr:colOff>
      <xdr:row>26</xdr:row>
      <xdr:rowOff>104775</xdr:rowOff>
    </xdr:from>
    <xdr:to>
      <xdr:col>23</xdr:col>
      <xdr:colOff>66675</xdr:colOff>
      <xdr:row>28</xdr:row>
      <xdr:rowOff>0</xdr:rowOff>
    </xdr:to>
    <xdr:sp>
      <xdr:nvSpPr>
        <xdr:cNvPr id="20" name="Rectangle 22"/>
        <xdr:cNvSpPr>
          <a:spLocks/>
        </xdr:cNvSpPr>
      </xdr:nvSpPr>
      <xdr:spPr>
        <a:xfrm>
          <a:off x="4371975" y="3324225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</a:t>
          </a:r>
          <a:r>
            <a:rPr lang="en-US" cap="none" sz="800" b="1" i="0" u="none" baseline="-25000"/>
            <a:t>TM</a:t>
          </a:r>
        </a:p>
      </xdr:txBody>
    </xdr:sp>
    <xdr:clientData/>
  </xdr:twoCellAnchor>
  <xdr:twoCellAnchor editAs="oneCell">
    <xdr:from>
      <xdr:col>4</xdr:col>
      <xdr:colOff>123825</xdr:colOff>
      <xdr:row>45</xdr:row>
      <xdr:rowOff>0</xdr:rowOff>
    </xdr:from>
    <xdr:to>
      <xdr:col>7</xdr:col>
      <xdr:colOff>57150</xdr:colOff>
      <xdr:row>46</xdr:row>
      <xdr:rowOff>0</xdr:rowOff>
    </xdr:to>
    <xdr:pic>
      <xdr:nvPicPr>
        <xdr:cNvPr id="21" name="ComboBox5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3925" y="5629275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123825</xdr:colOff>
      <xdr:row>47</xdr:row>
      <xdr:rowOff>0</xdr:rowOff>
    </xdr:from>
    <xdr:to>
      <xdr:col>7</xdr:col>
      <xdr:colOff>47625</xdr:colOff>
      <xdr:row>48</xdr:row>
      <xdr:rowOff>0</xdr:rowOff>
    </xdr:to>
    <xdr:pic>
      <xdr:nvPicPr>
        <xdr:cNvPr id="22" name="ComboBox5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3925" y="5934075"/>
          <a:ext cx="5238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123825</xdr:colOff>
      <xdr:row>49</xdr:row>
      <xdr:rowOff>0</xdr:rowOff>
    </xdr:from>
    <xdr:to>
      <xdr:col>7</xdr:col>
      <xdr:colOff>47625</xdr:colOff>
      <xdr:row>50</xdr:row>
      <xdr:rowOff>0</xdr:rowOff>
    </xdr:to>
    <xdr:pic>
      <xdr:nvPicPr>
        <xdr:cNvPr id="23" name="ComboBox5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3925" y="6238875"/>
          <a:ext cx="5238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123825</xdr:colOff>
      <xdr:row>51</xdr:row>
      <xdr:rowOff>0</xdr:rowOff>
    </xdr:from>
    <xdr:to>
      <xdr:col>7</xdr:col>
      <xdr:colOff>47625</xdr:colOff>
      <xdr:row>52</xdr:row>
      <xdr:rowOff>0</xdr:rowOff>
    </xdr:to>
    <xdr:pic>
      <xdr:nvPicPr>
        <xdr:cNvPr id="24" name="ComboBox55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23925" y="6543675"/>
          <a:ext cx="5238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123825</xdr:colOff>
      <xdr:row>53</xdr:row>
      <xdr:rowOff>0</xdr:rowOff>
    </xdr:from>
    <xdr:to>
      <xdr:col>7</xdr:col>
      <xdr:colOff>47625</xdr:colOff>
      <xdr:row>54</xdr:row>
      <xdr:rowOff>0</xdr:rowOff>
    </xdr:to>
    <xdr:pic>
      <xdr:nvPicPr>
        <xdr:cNvPr id="25" name="ComboBox56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23925" y="6848475"/>
          <a:ext cx="5238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123825</xdr:colOff>
      <xdr:row>55</xdr:row>
      <xdr:rowOff>0</xdr:rowOff>
    </xdr:from>
    <xdr:to>
      <xdr:col>7</xdr:col>
      <xdr:colOff>47625</xdr:colOff>
      <xdr:row>56</xdr:row>
      <xdr:rowOff>0</xdr:rowOff>
    </xdr:to>
    <xdr:pic>
      <xdr:nvPicPr>
        <xdr:cNvPr id="26" name="ComboBox57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23925" y="7153275"/>
          <a:ext cx="5238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20</xdr:col>
      <xdr:colOff>171450</xdr:colOff>
      <xdr:row>34</xdr:row>
      <xdr:rowOff>57150</xdr:rowOff>
    </xdr:from>
    <xdr:to>
      <xdr:col>27</xdr:col>
      <xdr:colOff>28575</xdr:colOff>
      <xdr:row>34</xdr:row>
      <xdr:rowOff>57150</xdr:rowOff>
    </xdr:to>
    <xdr:sp>
      <xdr:nvSpPr>
        <xdr:cNvPr id="27" name="Line 29"/>
        <xdr:cNvSpPr>
          <a:spLocks/>
        </xdr:cNvSpPr>
      </xdr:nvSpPr>
      <xdr:spPr>
        <a:xfrm>
          <a:off x="4171950" y="42672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4</xdr:col>
      <xdr:colOff>123825</xdr:colOff>
      <xdr:row>46</xdr:row>
      <xdr:rowOff>0</xdr:rowOff>
    </xdr:from>
    <xdr:to>
      <xdr:col>7</xdr:col>
      <xdr:colOff>57150</xdr:colOff>
      <xdr:row>47</xdr:row>
      <xdr:rowOff>0</xdr:rowOff>
    </xdr:to>
    <xdr:pic>
      <xdr:nvPicPr>
        <xdr:cNvPr id="28" name="ComboBox52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23925" y="5781675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123825</xdr:colOff>
      <xdr:row>48</xdr:row>
      <xdr:rowOff>0</xdr:rowOff>
    </xdr:from>
    <xdr:to>
      <xdr:col>7</xdr:col>
      <xdr:colOff>57150</xdr:colOff>
      <xdr:row>49</xdr:row>
      <xdr:rowOff>0</xdr:rowOff>
    </xdr:to>
    <xdr:pic>
      <xdr:nvPicPr>
        <xdr:cNvPr id="29" name="ComboBox53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23925" y="6086475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123825</xdr:colOff>
      <xdr:row>50</xdr:row>
      <xdr:rowOff>0</xdr:rowOff>
    </xdr:from>
    <xdr:to>
      <xdr:col>7</xdr:col>
      <xdr:colOff>57150</xdr:colOff>
      <xdr:row>51</xdr:row>
      <xdr:rowOff>0</xdr:rowOff>
    </xdr:to>
    <xdr:pic>
      <xdr:nvPicPr>
        <xdr:cNvPr id="30" name="ComboBox54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23925" y="6391275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123825</xdr:colOff>
      <xdr:row>52</xdr:row>
      <xdr:rowOff>0</xdr:rowOff>
    </xdr:from>
    <xdr:to>
      <xdr:col>7</xdr:col>
      <xdr:colOff>57150</xdr:colOff>
      <xdr:row>53</xdr:row>
      <xdr:rowOff>0</xdr:rowOff>
    </xdr:to>
    <xdr:pic>
      <xdr:nvPicPr>
        <xdr:cNvPr id="31" name="ComboBox55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23925" y="6696075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123825</xdr:colOff>
      <xdr:row>54</xdr:row>
      <xdr:rowOff>0</xdr:rowOff>
    </xdr:from>
    <xdr:to>
      <xdr:col>7</xdr:col>
      <xdr:colOff>57150</xdr:colOff>
      <xdr:row>55</xdr:row>
      <xdr:rowOff>0</xdr:rowOff>
    </xdr:to>
    <xdr:pic>
      <xdr:nvPicPr>
        <xdr:cNvPr id="32" name="ComboBox56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23925" y="7000875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123825</xdr:colOff>
      <xdr:row>56</xdr:row>
      <xdr:rowOff>0</xdr:rowOff>
    </xdr:from>
    <xdr:to>
      <xdr:col>7</xdr:col>
      <xdr:colOff>57150</xdr:colOff>
      <xdr:row>57</xdr:row>
      <xdr:rowOff>0</xdr:rowOff>
    </xdr:to>
    <xdr:pic>
      <xdr:nvPicPr>
        <xdr:cNvPr id="33" name="ComboBox57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23925" y="7305675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18</xdr:row>
      <xdr:rowOff>0</xdr:rowOff>
    </xdr:from>
    <xdr:to>
      <xdr:col>19</xdr:col>
      <xdr:colOff>104775</xdr:colOff>
      <xdr:row>19</xdr:row>
      <xdr:rowOff>19050</xdr:rowOff>
    </xdr:to>
    <xdr:pic>
      <xdr:nvPicPr>
        <xdr:cNvPr id="1" name="Combo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228850"/>
          <a:ext cx="50482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17</xdr:row>
      <xdr:rowOff>0</xdr:rowOff>
    </xdr:from>
    <xdr:to>
      <xdr:col>20</xdr:col>
      <xdr:colOff>0</xdr:colOff>
      <xdr:row>18</xdr:row>
      <xdr:rowOff>9525</xdr:rowOff>
    </xdr:to>
    <xdr:pic>
      <xdr:nvPicPr>
        <xdr:cNvPr id="2" name="Combo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2105025"/>
          <a:ext cx="60007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22</xdr:row>
      <xdr:rowOff>0</xdr:rowOff>
    </xdr:from>
    <xdr:to>
      <xdr:col>16</xdr:col>
      <xdr:colOff>0</xdr:colOff>
      <xdr:row>23</xdr:row>
      <xdr:rowOff>19050</xdr:rowOff>
    </xdr:to>
    <xdr:pic>
      <xdr:nvPicPr>
        <xdr:cNvPr id="3" name="ComboBox5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2724150"/>
          <a:ext cx="80010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21</xdr:row>
      <xdr:rowOff>0</xdr:rowOff>
    </xdr:from>
    <xdr:to>
      <xdr:col>16</xdr:col>
      <xdr:colOff>0</xdr:colOff>
      <xdr:row>22</xdr:row>
      <xdr:rowOff>9525</xdr:rowOff>
    </xdr:to>
    <xdr:pic>
      <xdr:nvPicPr>
        <xdr:cNvPr id="4" name="ComboBox5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0300" y="2600325"/>
          <a:ext cx="800100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44</xdr:row>
      <xdr:rowOff>0</xdr:rowOff>
    </xdr:from>
    <xdr:to>
      <xdr:col>42</xdr:col>
      <xdr:colOff>133350</xdr:colOff>
      <xdr:row>45</xdr:row>
      <xdr:rowOff>0</xdr:rowOff>
    </xdr:to>
    <xdr:pic>
      <xdr:nvPicPr>
        <xdr:cNvPr id="5" name="ComboBox5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0" y="5448300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45</xdr:row>
      <xdr:rowOff>0</xdr:rowOff>
    </xdr:from>
    <xdr:to>
      <xdr:col>42</xdr:col>
      <xdr:colOff>133350</xdr:colOff>
      <xdr:row>46</xdr:row>
      <xdr:rowOff>0</xdr:rowOff>
    </xdr:to>
    <xdr:pic>
      <xdr:nvPicPr>
        <xdr:cNvPr id="6" name="ComboBox5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01000" y="5600700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21</xdr:col>
      <xdr:colOff>0</xdr:colOff>
      <xdr:row>34</xdr:row>
      <xdr:rowOff>0</xdr:rowOff>
    </xdr:from>
    <xdr:to>
      <xdr:col>27</xdr:col>
      <xdr:colOff>0</xdr:colOff>
      <xdr:row>37</xdr:row>
      <xdr:rowOff>0</xdr:rowOff>
    </xdr:to>
    <xdr:sp>
      <xdr:nvSpPr>
        <xdr:cNvPr id="7" name="AutoShape 7"/>
        <xdr:cNvSpPr>
          <a:spLocks/>
        </xdr:cNvSpPr>
      </xdr:nvSpPr>
      <xdr:spPr>
        <a:xfrm rot="5400000">
          <a:off x="4200525" y="4210050"/>
          <a:ext cx="1200150" cy="371475"/>
        </a:xfrm>
        <a:prstGeom prst="can">
          <a:avLst>
            <a:gd name="adj" fmla="val -38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23</xdr:col>
      <xdr:colOff>95250</xdr:colOff>
      <xdr:row>30</xdr:row>
      <xdr:rowOff>76200</xdr:rowOff>
    </xdr:from>
    <xdr:to>
      <xdr:col>24</xdr:col>
      <xdr:colOff>95250</xdr:colOff>
      <xdr:row>34</xdr:row>
      <xdr:rowOff>47625</xdr:rowOff>
    </xdr:to>
    <xdr:sp>
      <xdr:nvSpPr>
        <xdr:cNvPr id="8" name="AutoShape 8"/>
        <xdr:cNvSpPr>
          <a:spLocks/>
        </xdr:cNvSpPr>
      </xdr:nvSpPr>
      <xdr:spPr>
        <a:xfrm>
          <a:off x="4695825" y="3790950"/>
          <a:ext cx="200025" cy="466725"/>
        </a:xfrm>
        <a:prstGeom prst="can">
          <a:avLst>
            <a:gd name="adj" fmla="val -30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4800600" y="34671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26</xdr:col>
      <xdr:colOff>0</xdr:colOff>
      <xdr:row>31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4800600" y="3467100"/>
          <a:ext cx="4000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>
      <xdr:nvSpPr>
        <xdr:cNvPr id="11" name="Line 11"/>
        <xdr:cNvSpPr>
          <a:spLocks/>
        </xdr:cNvSpPr>
      </xdr:nvSpPr>
      <xdr:spPr>
        <a:xfrm>
          <a:off x="4800600" y="38385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0</xdr:colOff>
      <xdr:row>30</xdr:row>
      <xdr:rowOff>9525</xdr:rowOff>
    </xdr:from>
    <xdr:to>
      <xdr:col>26</xdr:col>
      <xdr:colOff>104775</xdr:colOff>
      <xdr:row>31</xdr:row>
      <xdr:rowOff>114300</xdr:rowOff>
    </xdr:to>
    <xdr:sp>
      <xdr:nvSpPr>
        <xdr:cNvPr id="12" name="Arc 12"/>
        <xdr:cNvSpPr>
          <a:spLocks/>
        </xdr:cNvSpPr>
      </xdr:nvSpPr>
      <xdr:spPr>
        <a:xfrm flipH="1">
          <a:off x="5200650" y="3724275"/>
          <a:ext cx="104775" cy="228600"/>
        </a:xfrm>
        <a:prstGeom prst="arc">
          <a:avLst>
            <a:gd name="adj1" fmla="val -36985657"/>
            <a:gd name="adj2" fmla="val 41320120"/>
            <a:gd name="adj3" fmla="val 2236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23</xdr:col>
      <xdr:colOff>76200</xdr:colOff>
      <xdr:row>29</xdr:row>
      <xdr:rowOff>0</xdr:rowOff>
    </xdr:from>
    <xdr:to>
      <xdr:col>24</xdr:col>
      <xdr:colOff>104775</xdr:colOff>
      <xdr:row>29</xdr:row>
      <xdr:rowOff>104775</xdr:rowOff>
    </xdr:to>
    <xdr:sp>
      <xdr:nvSpPr>
        <xdr:cNvPr id="13" name="Arc 13"/>
        <xdr:cNvSpPr>
          <a:spLocks/>
        </xdr:cNvSpPr>
      </xdr:nvSpPr>
      <xdr:spPr>
        <a:xfrm rot="5400000">
          <a:off x="4676775" y="3590925"/>
          <a:ext cx="228600" cy="104775"/>
        </a:xfrm>
        <a:prstGeom prst="arc">
          <a:avLst>
            <a:gd name="adj1" fmla="val -38355296"/>
            <a:gd name="adj2" fmla="val 42486027"/>
            <a:gd name="adj3" fmla="val 2682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161925</xdr:colOff>
      <xdr:row>28</xdr:row>
      <xdr:rowOff>85725</xdr:rowOff>
    </xdr:from>
    <xdr:to>
      <xdr:col>25</xdr:col>
      <xdr:colOff>190500</xdr:colOff>
      <xdr:row>29</xdr:row>
      <xdr:rowOff>76200</xdr:rowOff>
    </xdr:to>
    <xdr:sp>
      <xdr:nvSpPr>
        <xdr:cNvPr id="14" name="Arc 14"/>
        <xdr:cNvSpPr>
          <a:spLocks/>
        </xdr:cNvSpPr>
      </xdr:nvSpPr>
      <xdr:spPr>
        <a:xfrm rot="16200000">
          <a:off x="4962525" y="3552825"/>
          <a:ext cx="228600" cy="114300"/>
        </a:xfrm>
        <a:prstGeom prst="arc">
          <a:avLst>
            <a:gd name="adj1" fmla="val 45031134"/>
            <a:gd name="adj2" fmla="val 35337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23</xdr:col>
      <xdr:colOff>47625</xdr:colOff>
      <xdr:row>26</xdr:row>
      <xdr:rowOff>85725</xdr:rowOff>
    </xdr:from>
    <xdr:to>
      <xdr:col>24</xdr:col>
      <xdr:colOff>142875</xdr:colOff>
      <xdr:row>27</xdr:row>
      <xdr:rowOff>104775</xdr:rowOff>
    </xdr:to>
    <xdr:sp>
      <xdr:nvSpPr>
        <xdr:cNvPr id="15" name="Rectangle 15"/>
        <xdr:cNvSpPr>
          <a:spLocks/>
        </xdr:cNvSpPr>
      </xdr:nvSpPr>
      <xdr:spPr>
        <a:xfrm>
          <a:off x="4648200" y="3305175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</a:t>
          </a:r>
          <a:r>
            <a:rPr lang="en-US" cap="none" sz="800" b="1" i="0" u="none" baseline="-25000"/>
            <a:t>RM</a:t>
          </a:r>
        </a:p>
      </xdr:txBody>
    </xdr:sp>
    <xdr:clientData/>
  </xdr:twoCellAnchor>
  <xdr:twoCellAnchor>
    <xdr:from>
      <xdr:col>26</xdr:col>
      <xdr:colOff>0</xdr:colOff>
      <xdr:row>26</xdr:row>
      <xdr:rowOff>104775</xdr:rowOff>
    </xdr:from>
    <xdr:to>
      <xdr:col>27</xdr:col>
      <xdr:colOff>95250</xdr:colOff>
      <xdr:row>28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200650" y="3324225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</a:t>
          </a:r>
          <a:r>
            <a:rPr lang="en-US" cap="none" sz="800" b="1" i="0" u="none" baseline="-25000"/>
            <a:t>CM</a:t>
          </a:r>
        </a:p>
      </xdr:txBody>
    </xdr:sp>
    <xdr:clientData/>
  </xdr:twoCellAnchor>
  <xdr:twoCellAnchor>
    <xdr:from>
      <xdr:col>27</xdr:col>
      <xdr:colOff>0</xdr:colOff>
      <xdr:row>29</xdr:row>
      <xdr:rowOff>104775</xdr:rowOff>
    </xdr:from>
    <xdr:to>
      <xdr:col>28</xdr:col>
      <xdr:colOff>95250</xdr:colOff>
      <xdr:row>31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5400675" y="3695700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</a:t>
          </a:r>
          <a:r>
            <a:rPr lang="en-US" cap="none" sz="800" b="1" i="0" u="none" baseline="-25000"/>
            <a:t>LM</a:t>
          </a:r>
        </a:p>
      </xdr:txBody>
    </xdr:sp>
    <xdr:clientData/>
  </xdr:twoCellAnchor>
  <xdr:twoCellAnchor>
    <xdr:from>
      <xdr:col>27</xdr:col>
      <xdr:colOff>0</xdr:colOff>
      <xdr:row>30</xdr:row>
      <xdr:rowOff>104775</xdr:rowOff>
    </xdr:from>
    <xdr:to>
      <xdr:col>28</xdr:col>
      <xdr:colOff>95250</xdr:colOff>
      <xdr:row>32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400675" y="3819525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</a:t>
          </a:r>
          <a:r>
            <a:rPr lang="en-US" cap="none" sz="800" b="1" i="0" u="none" baseline="-25000"/>
            <a:t>CM</a:t>
          </a:r>
        </a:p>
      </xdr:txBody>
    </xdr:sp>
    <xdr:clientData/>
  </xdr:twoCellAnchor>
  <xdr:twoCellAnchor>
    <xdr:from>
      <xdr:col>26</xdr:col>
      <xdr:colOff>0</xdr:colOff>
      <xdr:row>28</xdr:row>
      <xdr:rowOff>0</xdr:rowOff>
    </xdr:from>
    <xdr:to>
      <xdr:col>27</xdr:col>
      <xdr:colOff>95250</xdr:colOff>
      <xdr:row>29</xdr:row>
      <xdr:rowOff>19050</xdr:rowOff>
    </xdr:to>
    <xdr:sp>
      <xdr:nvSpPr>
        <xdr:cNvPr id="19" name="Rectangle 19"/>
        <xdr:cNvSpPr>
          <a:spLocks/>
        </xdr:cNvSpPr>
      </xdr:nvSpPr>
      <xdr:spPr>
        <a:xfrm>
          <a:off x="5200650" y="3467100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</a:t>
          </a:r>
          <a:r>
            <a:rPr lang="en-US" cap="none" sz="800" b="1" i="0" u="none" baseline="-25000"/>
            <a:t>LM</a:t>
          </a:r>
        </a:p>
      </xdr:txBody>
    </xdr:sp>
    <xdr:clientData/>
  </xdr:twoCellAnchor>
  <xdr:twoCellAnchor>
    <xdr:from>
      <xdr:col>21</xdr:col>
      <xdr:colOff>171450</xdr:colOff>
      <xdr:row>27</xdr:row>
      <xdr:rowOff>104775</xdr:rowOff>
    </xdr:from>
    <xdr:to>
      <xdr:col>23</xdr:col>
      <xdr:colOff>66675</xdr:colOff>
      <xdr:row>29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371975" y="3448050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</a:t>
          </a:r>
          <a:r>
            <a:rPr lang="en-US" cap="none" sz="800" b="1" i="0" u="none" baseline="-25000"/>
            <a:t>TM</a:t>
          </a:r>
        </a:p>
      </xdr:txBody>
    </xdr:sp>
    <xdr:clientData/>
  </xdr:twoCellAnchor>
  <xdr:twoCellAnchor editAs="oneCell">
    <xdr:from>
      <xdr:col>40</xdr:col>
      <xdr:colOff>0</xdr:colOff>
      <xdr:row>46</xdr:row>
      <xdr:rowOff>0</xdr:rowOff>
    </xdr:from>
    <xdr:to>
      <xdr:col>42</xdr:col>
      <xdr:colOff>133350</xdr:colOff>
      <xdr:row>47</xdr:row>
      <xdr:rowOff>0</xdr:rowOff>
    </xdr:to>
    <xdr:pic>
      <xdr:nvPicPr>
        <xdr:cNvPr id="21" name="ComboBox5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01000" y="5753100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48</xdr:row>
      <xdr:rowOff>0</xdr:rowOff>
    </xdr:from>
    <xdr:to>
      <xdr:col>42</xdr:col>
      <xdr:colOff>123825</xdr:colOff>
      <xdr:row>49</xdr:row>
      <xdr:rowOff>0</xdr:rowOff>
    </xdr:to>
    <xdr:pic>
      <xdr:nvPicPr>
        <xdr:cNvPr id="22" name="ComboBox5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01000" y="6057900"/>
          <a:ext cx="5238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50</xdr:row>
      <xdr:rowOff>0</xdr:rowOff>
    </xdr:from>
    <xdr:to>
      <xdr:col>42</xdr:col>
      <xdr:colOff>123825</xdr:colOff>
      <xdr:row>51</xdr:row>
      <xdr:rowOff>0</xdr:rowOff>
    </xdr:to>
    <xdr:pic>
      <xdr:nvPicPr>
        <xdr:cNvPr id="23" name="ComboBox5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01000" y="6362700"/>
          <a:ext cx="5238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52</xdr:row>
      <xdr:rowOff>0</xdr:rowOff>
    </xdr:from>
    <xdr:to>
      <xdr:col>42</xdr:col>
      <xdr:colOff>123825</xdr:colOff>
      <xdr:row>53</xdr:row>
      <xdr:rowOff>0</xdr:rowOff>
    </xdr:to>
    <xdr:pic>
      <xdr:nvPicPr>
        <xdr:cNvPr id="24" name="ComboBox55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01000" y="6667500"/>
          <a:ext cx="5238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54</xdr:row>
      <xdr:rowOff>0</xdr:rowOff>
    </xdr:from>
    <xdr:to>
      <xdr:col>42</xdr:col>
      <xdr:colOff>123825</xdr:colOff>
      <xdr:row>55</xdr:row>
      <xdr:rowOff>0</xdr:rowOff>
    </xdr:to>
    <xdr:pic>
      <xdr:nvPicPr>
        <xdr:cNvPr id="25" name="ComboBox56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01000" y="6972300"/>
          <a:ext cx="5238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56</xdr:row>
      <xdr:rowOff>0</xdr:rowOff>
    </xdr:from>
    <xdr:to>
      <xdr:col>42</xdr:col>
      <xdr:colOff>123825</xdr:colOff>
      <xdr:row>57</xdr:row>
      <xdr:rowOff>0</xdr:rowOff>
    </xdr:to>
    <xdr:pic>
      <xdr:nvPicPr>
        <xdr:cNvPr id="26" name="ComboBox57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0" y="7277100"/>
          <a:ext cx="5238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20</xdr:col>
      <xdr:colOff>171450</xdr:colOff>
      <xdr:row>35</xdr:row>
      <xdr:rowOff>57150</xdr:rowOff>
    </xdr:from>
    <xdr:to>
      <xdr:col>27</xdr:col>
      <xdr:colOff>28575</xdr:colOff>
      <xdr:row>35</xdr:row>
      <xdr:rowOff>57150</xdr:rowOff>
    </xdr:to>
    <xdr:sp>
      <xdr:nvSpPr>
        <xdr:cNvPr id="27" name="Line 27"/>
        <xdr:cNvSpPr>
          <a:spLocks/>
        </xdr:cNvSpPr>
      </xdr:nvSpPr>
      <xdr:spPr>
        <a:xfrm>
          <a:off x="4171950" y="43910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40</xdr:col>
      <xdr:colOff>0</xdr:colOff>
      <xdr:row>47</xdr:row>
      <xdr:rowOff>0</xdr:rowOff>
    </xdr:from>
    <xdr:to>
      <xdr:col>42</xdr:col>
      <xdr:colOff>133350</xdr:colOff>
      <xdr:row>48</xdr:row>
      <xdr:rowOff>0</xdr:rowOff>
    </xdr:to>
    <xdr:pic>
      <xdr:nvPicPr>
        <xdr:cNvPr id="28" name="ComboBox52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01000" y="5905500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49</xdr:row>
      <xdr:rowOff>0</xdr:rowOff>
    </xdr:from>
    <xdr:to>
      <xdr:col>42</xdr:col>
      <xdr:colOff>133350</xdr:colOff>
      <xdr:row>50</xdr:row>
      <xdr:rowOff>0</xdr:rowOff>
    </xdr:to>
    <xdr:pic>
      <xdr:nvPicPr>
        <xdr:cNvPr id="29" name="ComboBox53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01000" y="6210300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51</xdr:row>
      <xdr:rowOff>0</xdr:rowOff>
    </xdr:from>
    <xdr:to>
      <xdr:col>42</xdr:col>
      <xdr:colOff>133350</xdr:colOff>
      <xdr:row>52</xdr:row>
      <xdr:rowOff>0</xdr:rowOff>
    </xdr:to>
    <xdr:pic>
      <xdr:nvPicPr>
        <xdr:cNvPr id="30" name="ComboBox54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01000" y="6515100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53</xdr:row>
      <xdr:rowOff>0</xdr:rowOff>
    </xdr:from>
    <xdr:to>
      <xdr:col>42</xdr:col>
      <xdr:colOff>133350</xdr:colOff>
      <xdr:row>54</xdr:row>
      <xdr:rowOff>0</xdr:rowOff>
    </xdr:to>
    <xdr:pic>
      <xdr:nvPicPr>
        <xdr:cNvPr id="31" name="ComboBox55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01000" y="6819900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55</xdr:row>
      <xdr:rowOff>0</xdr:rowOff>
    </xdr:from>
    <xdr:to>
      <xdr:col>42</xdr:col>
      <xdr:colOff>133350</xdr:colOff>
      <xdr:row>56</xdr:row>
      <xdr:rowOff>0</xdr:rowOff>
    </xdr:to>
    <xdr:pic>
      <xdr:nvPicPr>
        <xdr:cNvPr id="32" name="ComboBox56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01000" y="7124700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57</xdr:row>
      <xdr:rowOff>0</xdr:rowOff>
    </xdr:from>
    <xdr:to>
      <xdr:col>42</xdr:col>
      <xdr:colOff>133350</xdr:colOff>
      <xdr:row>58</xdr:row>
      <xdr:rowOff>0</xdr:rowOff>
    </xdr:to>
    <xdr:pic>
      <xdr:nvPicPr>
        <xdr:cNvPr id="33" name="ComboBox57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001000" y="7429500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22</xdr:row>
      <xdr:rowOff>0</xdr:rowOff>
    </xdr:from>
    <xdr:to>
      <xdr:col>21</xdr:col>
      <xdr:colOff>0</xdr:colOff>
      <xdr:row>23</xdr:row>
      <xdr:rowOff>19050</xdr:rowOff>
    </xdr:to>
    <xdr:pic>
      <xdr:nvPicPr>
        <xdr:cNvPr id="34" name="ComboBox60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400425" y="2724150"/>
          <a:ext cx="800100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21</xdr:row>
      <xdr:rowOff>0</xdr:rowOff>
    </xdr:from>
    <xdr:to>
      <xdr:col>21</xdr:col>
      <xdr:colOff>0</xdr:colOff>
      <xdr:row>22</xdr:row>
      <xdr:rowOff>9525</xdr:rowOff>
    </xdr:to>
    <xdr:pic>
      <xdr:nvPicPr>
        <xdr:cNvPr id="35" name="ComboBox60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400425" y="2600325"/>
          <a:ext cx="800100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35</xdr:col>
      <xdr:colOff>0</xdr:colOff>
      <xdr:row>44</xdr:row>
      <xdr:rowOff>0</xdr:rowOff>
    </xdr:from>
    <xdr:to>
      <xdr:col>38</xdr:col>
      <xdr:colOff>0</xdr:colOff>
      <xdr:row>45</xdr:row>
      <xdr:rowOff>9525</xdr:rowOff>
    </xdr:to>
    <xdr:pic>
      <xdr:nvPicPr>
        <xdr:cNvPr id="36" name="ComboBox3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000875" y="54483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35</xdr:col>
      <xdr:colOff>0</xdr:colOff>
      <xdr:row>46</xdr:row>
      <xdr:rowOff>0</xdr:rowOff>
    </xdr:from>
    <xdr:to>
      <xdr:col>38</xdr:col>
      <xdr:colOff>0</xdr:colOff>
      <xdr:row>47</xdr:row>
      <xdr:rowOff>9525</xdr:rowOff>
    </xdr:to>
    <xdr:pic>
      <xdr:nvPicPr>
        <xdr:cNvPr id="37" name="ComboBox3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000875" y="57531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35</xdr:col>
      <xdr:colOff>0</xdr:colOff>
      <xdr:row>48</xdr:row>
      <xdr:rowOff>0</xdr:rowOff>
    </xdr:from>
    <xdr:to>
      <xdr:col>38</xdr:col>
      <xdr:colOff>0</xdr:colOff>
      <xdr:row>49</xdr:row>
      <xdr:rowOff>9525</xdr:rowOff>
    </xdr:to>
    <xdr:pic>
      <xdr:nvPicPr>
        <xdr:cNvPr id="38" name="ComboBox3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000875" y="60579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35</xdr:col>
      <xdr:colOff>0</xdr:colOff>
      <xdr:row>50</xdr:row>
      <xdr:rowOff>0</xdr:rowOff>
    </xdr:from>
    <xdr:to>
      <xdr:col>38</xdr:col>
      <xdr:colOff>0</xdr:colOff>
      <xdr:row>51</xdr:row>
      <xdr:rowOff>9525</xdr:rowOff>
    </xdr:to>
    <xdr:pic>
      <xdr:nvPicPr>
        <xdr:cNvPr id="39" name="ComboBox3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000875" y="63627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35</xdr:col>
      <xdr:colOff>0</xdr:colOff>
      <xdr:row>52</xdr:row>
      <xdr:rowOff>0</xdr:rowOff>
    </xdr:from>
    <xdr:to>
      <xdr:col>38</xdr:col>
      <xdr:colOff>0</xdr:colOff>
      <xdr:row>53</xdr:row>
      <xdr:rowOff>9525</xdr:rowOff>
    </xdr:to>
    <xdr:pic>
      <xdr:nvPicPr>
        <xdr:cNvPr id="40" name="ComboBox3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000875" y="66675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35</xdr:col>
      <xdr:colOff>0</xdr:colOff>
      <xdr:row>54</xdr:row>
      <xdr:rowOff>0</xdr:rowOff>
    </xdr:from>
    <xdr:to>
      <xdr:col>38</xdr:col>
      <xdr:colOff>0</xdr:colOff>
      <xdr:row>55</xdr:row>
      <xdr:rowOff>9525</xdr:rowOff>
    </xdr:to>
    <xdr:pic>
      <xdr:nvPicPr>
        <xdr:cNvPr id="41" name="ComboBox3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000875" y="69723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35</xdr:col>
      <xdr:colOff>0</xdr:colOff>
      <xdr:row>56</xdr:row>
      <xdr:rowOff>0</xdr:rowOff>
    </xdr:from>
    <xdr:to>
      <xdr:col>38</xdr:col>
      <xdr:colOff>0</xdr:colOff>
      <xdr:row>57</xdr:row>
      <xdr:rowOff>9525</xdr:rowOff>
    </xdr:to>
    <xdr:pic>
      <xdr:nvPicPr>
        <xdr:cNvPr id="42" name="ComboBox3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000875" y="72771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18</xdr:row>
      <xdr:rowOff>0</xdr:rowOff>
    </xdr:from>
    <xdr:to>
      <xdr:col>20</xdr:col>
      <xdr:colOff>0</xdr:colOff>
      <xdr:row>19</xdr:row>
      <xdr:rowOff>9525</xdr:rowOff>
    </xdr:to>
    <xdr:pic>
      <xdr:nvPicPr>
        <xdr:cNvPr id="1" name="Combo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2228850"/>
          <a:ext cx="60007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17</xdr:col>
      <xdr:colOff>0</xdr:colOff>
      <xdr:row>17</xdr:row>
      <xdr:rowOff>0</xdr:rowOff>
    </xdr:from>
    <xdr:to>
      <xdr:col>20</xdr:col>
      <xdr:colOff>0</xdr:colOff>
      <xdr:row>18</xdr:row>
      <xdr:rowOff>9525</xdr:rowOff>
    </xdr:to>
    <xdr:pic>
      <xdr:nvPicPr>
        <xdr:cNvPr id="2" name="ComboBox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2105025"/>
          <a:ext cx="600075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35</xdr:col>
      <xdr:colOff>0</xdr:colOff>
      <xdr:row>22</xdr:row>
      <xdr:rowOff>0</xdr:rowOff>
    </xdr:from>
    <xdr:to>
      <xdr:col>39</xdr:col>
      <xdr:colOff>0</xdr:colOff>
      <xdr:row>23</xdr:row>
      <xdr:rowOff>9525</xdr:rowOff>
    </xdr:to>
    <xdr:pic>
      <xdr:nvPicPr>
        <xdr:cNvPr id="3" name="ComboBox5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2724150"/>
          <a:ext cx="800100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35</xdr:col>
      <xdr:colOff>0</xdr:colOff>
      <xdr:row>21</xdr:row>
      <xdr:rowOff>0</xdr:rowOff>
    </xdr:from>
    <xdr:to>
      <xdr:col>39</xdr:col>
      <xdr:colOff>0</xdr:colOff>
      <xdr:row>22</xdr:row>
      <xdr:rowOff>9525</xdr:rowOff>
    </xdr:to>
    <xdr:pic>
      <xdr:nvPicPr>
        <xdr:cNvPr id="4" name="ComboBox5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2600325"/>
          <a:ext cx="800100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44</xdr:row>
      <xdr:rowOff>0</xdr:rowOff>
    </xdr:from>
    <xdr:to>
      <xdr:col>43</xdr:col>
      <xdr:colOff>0</xdr:colOff>
      <xdr:row>45</xdr:row>
      <xdr:rowOff>0</xdr:rowOff>
    </xdr:to>
    <xdr:pic>
      <xdr:nvPicPr>
        <xdr:cNvPr id="5" name="ComboBox5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0" y="5448300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45</xdr:row>
      <xdr:rowOff>0</xdr:rowOff>
    </xdr:from>
    <xdr:to>
      <xdr:col>43</xdr:col>
      <xdr:colOff>0</xdr:colOff>
      <xdr:row>46</xdr:row>
      <xdr:rowOff>0</xdr:rowOff>
    </xdr:to>
    <xdr:pic>
      <xdr:nvPicPr>
        <xdr:cNvPr id="6" name="ComboBox5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01000" y="5600700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21</xdr:col>
      <xdr:colOff>0</xdr:colOff>
      <xdr:row>34</xdr:row>
      <xdr:rowOff>0</xdr:rowOff>
    </xdr:from>
    <xdr:to>
      <xdr:col>27</xdr:col>
      <xdr:colOff>0</xdr:colOff>
      <xdr:row>37</xdr:row>
      <xdr:rowOff>0</xdr:rowOff>
    </xdr:to>
    <xdr:sp>
      <xdr:nvSpPr>
        <xdr:cNvPr id="7" name="AutoShape 7"/>
        <xdr:cNvSpPr>
          <a:spLocks/>
        </xdr:cNvSpPr>
      </xdr:nvSpPr>
      <xdr:spPr>
        <a:xfrm rot="5400000">
          <a:off x="4200525" y="4210050"/>
          <a:ext cx="1200150" cy="371475"/>
        </a:xfrm>
        <a:prstGeom prst="can">
          <a:avLst>
            <a:gd name="adj" fmla="val -38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23</xdr:col>
      <xdr:colOff>95250</xdr:colOff>
      <xdr:row>30</xdr:row>
      <xdr:rowOff>76200</xdr:rowOff>
    </xdr:from>
    <xdr:to>
      <xdr:col>24</xdr:col>
      <xdr:colOff>95250</xdr:colOff>
      <xdr:row>34</xdr:row>
      <xdr:rowOff>47625</xdr:rowOff>
    </xdr:to>
    <xdr:sp>
      <xdr:nvSpPr>
        <xdr:cNvPr id="8" name="AutoShape 8"/>
        <xdr:cNvSpPr>
          <a:spLocks/>
        </xdr:cNvSpPr>
      </xdr:nvSpPr>
      <xdr:spPr>
        <a:xfrm>
          <a:off x="4695825" y="3790950"/>
          <a:ext cx="200025" cy="466725"/>
        </a:xfrm>
        <a:prstGeom prst="can">
          <a:avLst>
            <a:gd name="adj" fmla="val -30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24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4800600" y="34671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0</xdr:colOff>
      <xdr:row>28</xdr:row>
      <xdr:rowOff>0</xdr:rowOff>
    </xdr:from>
    <xdr:to>
      <xdr:col>26</xdr:col>
      <xdr:colOff>0</xdr:colOff>
      <xdr:row>31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4800600" y="3467100"/>
          <a:ext cx="4000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27</xdr:col>
      <xdr:colOff>0</xdr:colOff>
      <xdr:row>31</xdr:row>
      <xdr:rowOff>0</xdr:rowOff>
    </xdr:to>
    <xdr:sp>
      <xdr:nvSpPr>
        <xdr:cNvPr id="11" name="Line 11"/>
        <xdr:cNvSpPr>
          <a:spLocks/>
        </xdr:cNvSpPr>
      </xdr:nvSpPr>
      <xdr:spPr>
        <a:xfrm>
          <a:off x="4800600" y="38385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0</xdr:colOff>
      <xdr:row>30</xdr:row>
      <xdr:rowOff>9525</xdr:rowOff>
    </xdr:from>
    <xdr:to>
      <xdr:col>26</xdr:col>
      <xdr:colOff>104775</xdr:colOff>
      <xdr:row>31</xdr:row>
      <xdr:rowOff>114300</xdr:rowOff>
    </xdr:to>
    <xdr:sp>
      <xdr:nvSpPr>
        <xdr:cNvPr id="12" name="Arc 12"/>
        <xdr:cNvSpPr>
          <a:spLocks/>
        </xdr:cNvSpPr>
      </xdr:nvSpPr>
      <xdr:spPr>
        <a:xfrm flipH="1">
          <a:off x="5200650" y="3724275"/>
          <a:ext cx="104775" cy="228600"/>
        </a:xfrm>
        <a:prstGeom prst="arc">
          <a:avLst>
            <a:gd name="adj1" fmla="val -36985657"/>
            <a:gd name="adj2" fmla="val 41320120"/>
            <a:gd name="adj3" fmla="val 2236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23</xdr:col>
      <xdr:colOff>76200</xdr:colOff>
      <xdr:row>29</xdr:row>
      <xdr:rowOff>0</xdr:rowOff>
    </xdr:from>
    <xdr:to>
      <xdr:col>24</xdr:col>
      <xdr:colOff>104775</xdr:colOff>
      <xdr:row>29</xdr:row>
      <xdr:rowOff>104775</xdr:rowOff>
    </xdr:to>
    <xdr:sp>
      <xdr:nvSpPr>
        <xdr:cNvPr id="13" name="Arc 13"/>
        <xdr:cNvSpPr>
          <a:spLocks/>
        </xdr:cNvSpPr>
      </xdr:nvSpPr>
      <xdr:spPr>
        <a:xfrm rot="5400000">
          <a:off x="4676775" y="3590925"/>
          <a:ext cx="228600" cy="104775"/>
        </a:xfrm>
        <a:prstGeom prst="arc">
          <a:avLst>
            <a:gd name="adj1" fmla="val -38355296"/>
            <a:gd name="adj2" fmla="val 42486027"/>
            <a:gd name="adj3" fmla="val 2682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24</xdr:col>
      <xdr:colOff>161925</xdr:colOff>
      <xdr:row>28</xdr:row>
      <xdr:rowOff>85725</xdr:rowOff>
    </xdr:from>
    <xdr:to>
      <xdr:col>25</xdr:col>
      <xdr:colOff>190500</xdr:colOff>
      <xdr:row>29</xdr:row>
      <xdr:rowOff>76200</xdr:rowOff>
    </xdr:to>
    <xdr:sp>
      <xdr:nvSpPr>
        <xdr:cNvPr id="14" name="Arc 14"/>
        <xdr:cNvSpPr>
          <a:spLocks/>
        </xdr:cNvSpPr>
      </xdr:nvSpPr>
      <xdr:spPr>
        <a:xfrm rot="16200000">
          <a:off x="4962525" y="3552825"/>
          <a:ext cx="228600" cy="114300"/>
        </a:xfrm>
        <a:prstGeom prst="arc">
          <a:avLst>
            <a:gd name="adj1" fmla="val 45031134"/>
            <a:gd name="adj2" fmla="val 35337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23</xdr:col>
      <xdr:colOff>47625</xdr:colOff>
      <xdr:row>26</xdr:row>
      <xdr:rowOff>85725</xdr:rowOff>
    </xdr:from>
    <xdr:to>
      <xdr:col>24</xdr:col>
      <xdr:colOff>142875</xdr:colOff>
      <xdr:row>27</xdr:row>
      <xdr:rowOff>104775</xdr:rowOff>
    </xdr:to>
    <xdr:sp>
      <xdr:nvSpPr>
        <xdr:cNvPr id="15" name="Rectangle 15"/>
        <xdr:cNvSpPr>
          <a:spLocks/>
        </xdr:cNvSpPr>
      </xdr:nvSpPr>
      <xdr:spPr>
        <a:xfrm>
          <a:off x="4648200" y="3305175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</a:t>
          </a:r>
          <a:r>
            <a:rPr lang="en-US" cap="none" sz="800" b="1" i="0" u="none" baseline="-25000"/>
            <a:t>RM</a:t>
          </a:r>
        </a:p>
      </xdr:txBody>
    </xdr:sp>
    <xdr:clientData/>
  </xdr:twoCellAnchor>
  <xdr:twoCellAnchor>
    <xdr:from>
      <xdr:col>26</xdr:col>
      <xdr:colOff>0</xdr:colOff>
      <xdr:row>26</xdr:row>
      <xdr:rowOff>104775</xdr:rowOff>
    </xdr:from>
    <xdr:to>
      <xdr:col>27</xdr:col>
      <xdr:colOff>95250</xdr:colOff>
      <xdr:row>28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200650" y="3324225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</a:t>
          </a:r>
          <a:r>
            <a:rPr lang="en-US" cap="none" sz="800" b="1" i="0" u="none" baseline="-25000"/>
            <a:t>CM</a:t>
          </a:r>
        </a:p>
      </xdr:txBody>
    </xdr:sp>
    <xdr:clientData/>
  </xdr:twoCellAnchor>
  <xdr:twoCellAnchor>
    <xdr:from>
      <xdr:col>27</xdr:col>
      <xdr:colOff>0</xdr:colOff>
      <xdr:row>29</xdr:row>
      <xdr:rowOff>104775</xdr:rowOff>
    </xdr:from>
    <xdr:to>
      <xdr:col>28</xdr:col>
      <xdr:colOff>95250</xdr:colOff>
      <xdr:row>31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5400675" y="3695700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F</a:t>
          </a:r>
          <a:r>
            <a:rPr lang="en-US" cap="none" sz="800" b="1" i="0" u="none" baseline="-25000"/>
            <a:t>LM</a:t>
          </a:r>
        </a:p>
      </xdr:txBody>
    </xdr:sp>
    <xdr:clientData/>
  </xdr:twoCellAnchor>
  <xdr:twoCellAnchor>
    <xdr:from>
      <xdr:col>27</xdr:col>
      <xdr:colOff>0</xdr:colOff>
      <xdr:row>30</xdr:row>
      <xdr:rowOff>104775</xdr:rowOff>
    </xdr:from>
    <xdr:to>
      <xdr:col>28</xdr:col>
      <xdr:colOff>95250</xdr:colOff>
      <xdr:row>32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5400675" y="3819525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</a:t>
          </a:r>
          <a:r>
            <a:rPr lang="en-US" cap="none" sz="800" b="1" i="0" u="none" baseline="-25000"/>
            <a:t>CM</a:t>
          </a:r>
        </a:p>
      </xdr:txBody>
    </xdr:sp>
    <xdr:clientData/>
  </xdr:twoCellAnchor>
  <xdr:twoCellAnchor>
    <xdr:from>
      <xdr:col>26</xdr:col>
      <xdr:colOff>0</xdr:colOff>
      <xdr:row>28</xdr:row>
      <xdr:rowOff>0</xdr:rowOff>
    </xdr:from>
    <xdr:to>
      <xdr:col>27</xdr:col>
      <xdr:colOff>95250</xdr:colOff>
      <xdr:row>29</xdr:row>
      <xdr:rowOff>19050</xdr:rowOff>
    </xdr:to>
    <xdr:sp>
      <xdr:nvSpPr>
        <xdr:cNvPr id="19" name="Rectangle 19"/>
        <xdr:cNvSpPr>
          <a:spLocks/>
        </xdr:cNvSpPr>
      </xdr:nvSpPr>
      <xdr:spPr>
        <a:xfrm>
          <a:off x="5200650" y="3467100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</a:t>
          </a:r>
          <a:r>
            <a:rPr lang="en-US" cap="none" sz="800" b="1" i="0" u="none" baseline="-25000"/>
            <a:t>LM</a:t>
          </a:r>
        </a:p>
      </xdr:txBody>
    </xdr:sp>
    <xdr:clientData/>
  </xdr:twoCellAnchor>
  <xdr:twoCellAnchor>
    <xdr:from>
      <xdr:col>21</xdr:col>
      <xdr:colOff>171450</xdr:colOff>
      <xdr:row>27</xdr:row>
      <xdr:rowOff>104775</xdr:rowOff>
    </xdr:from>
    <xdr:to>
      <xdr:col>23</xdr:col>
      <xdr:colOff>66675</xdr:colOff>
      <xdr:row>29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371975" y="3448050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/>
            <a:t>M</a:t>
          </a:r>
          <a:r>
            <a:rPr lang="en-US" cap="none" sz="800" b="1" i="0" u="none" baseline="-25000"/>
            <a:t>TM</a:t>
          </a:r>
        </a:p>
      </xdr:txBody>
    </xdr:sp>
    <xdr:clientData/>
  </xdr:twoCellAnchor>
  <xdr:twoCellAnchor editAs="oneCell">
    <xdr:from>
      <xdr:col>40</xdr:col>
      <xdr:colOff>0</xdr:colOff>
      <xdr:row>46</xdr:row>
      <xdr:rowOff>0</xdr:rowOff>
    </xdr:from>
    <xdr:to>
      <xdr:col>43</xdr:col>
      <xdr:colOff>0</xdr:colOff>
      <xdr:row>47</xdr:row>
      <xdr:rowOff>0</xdr:rowOff>
    </xdr:to>
    <xdr:pic>
      <xdr:nvPicPr>
        <xdr:cNvPr id="21" name="ComboBox5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01000" y="5753100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48</xdr:row>
      <xdr:rowOff>0</xdr:rowOff>
    </xdr:from>
    <xdr:to>
      <xdr:col>43</xdr:col>
      <xdr:colOff>0</xdr:colOff>
      <xdr:row>49</xdr:row>
      <xdr:rowOff>0</xdr:rowOff>
    </xdr:to>
    <xdr:pic>
      <xdr:nvPicPr>
        <xdr:cNvPr id="22" name="ComboBox5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01000" y="6057900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50</xdr:row>
      <xdr:rowOff>0</xdr:rowOff>
    </xdr:from>
    <xdr:to>
      <xdr:col>43</xdr:col>
      <xdr:colOff>0</xdr:colOff>
      <xdr:row>51</xdr:row>
      <xdr:rowOff>0</xdr:rowOff>
    </xdr:to>
    <xdr:pic>
      <xdr:nvPicPr>
        <xdr:cNvPr id="23" name="ComboBox54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01000" y="6362700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52</xdr:row>
      <xdr:rowOff>0</xdr:rowOff>
    </xdr:from>
    <xdr:to>
      <xdr:col>43</xdr:col>
      <xdr:colOff>0</xdr:colOff>
      <xdr:row>53</xdr:row>
      <xdr:rowOff>0</xdr:rowOff>
    </xdr:to>
    <xdr:pic>
      <xdr:nvPicPr>
        <xdr:cNvPr id="24" name="ComboBox55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01000" y="6667500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54</xdr:row>
      <xdr:rowOff>0</xdr:rowOff>
    </xdr:from>
    <xdr:to>
      <xdr:col>43</xdr:col>
      <xdr:colOff>0</xdr:colOff>
      <xdr:row>55</xdr:row>
      <xdr:rowOff>0</xdr:rowOff>
    </xdr:to>
    <xdr:pic>
      <xdr:nvPicPr>
        <xdr:cNvPr id="25" name="ComboBox56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01000" y="6972300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56</xdr:row>
      <xdr:rowOff>0</xdr:rowOff>
    </xdr:from>
    <xdr:to>
      <xdr:col>43</xdr:col>
      <xdr:colOff>0</xdr:colOff>
      <xdr:row>57</xdr:row>
      <xdr:rowOff>0</xdr:rowOff>
    </xdr:to>
    <xdr:pic>
      <xdr:nvPicPr>
        <xdr:cNvPr id="26" name="ComboBox57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01000" y="7277100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20</xdr:col>
      <xdr:colOff>171450</xdr:colOff>
      <xdr:row>35</xdr:row>
      <xdr:rowOff>57150</xdr:rowOff>
    </xdr:from>
    <xdr:to>
      <xdr:col>27</xdr:col>
      <xdr:colOff>28575</xdr:colOff>
      <xdr:row>35</xdr:row>
      <xdr:rowOff>57150</xdr:rowOff>
    </xdr:to>
    <xdr:sp>
      <xdr:nvSpPr>
        <xdr:cNvPr id="27" name="Line 27"/>
        <xdr:cNvSpPr>
          <a:spLocks/>
        </xdr:cNvSpPr>
      </xdr:nvSpPr>
      <xdr:spPr>
        <a:xfrm>
          <a:off x="4171950" y="43910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 editAs="oneCell">
    <xdr:from>
      <xdr:col>40</xdr:col>
      <xdr:colOff>0</xdr:colOff>
      <xdr:row>47</xdr:row>
      <xdr:rowOff>0</xdr:rowOff>
    </xdr:from>
    <xdr:to>
      <xdr:col>43</xdr:col>
      <xdr:colOff>0</xdr:colOff>
      <xdr:row>48</xdr:row>
      <xdr:rowOff>0</xdr:rowOff>
    </xdr:to>
    <xdr:pic>
      <xdr:nvPicPr>
        <xdr:cNvPr id="28" name="ComboBox52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01000" y="5905500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49</xdr:row>
      <xdr:rowOff>0</xdr:rowOff>
    </xdr:from>
    <xdr:to>
      <xdr:col>43</xdr:col>
      <xdr:colOff>0</xdr:colOff>
      <xdr:row>50</xdr:row>
      <xdr:rowOff>0</xdr:rowOff>
    </xdr:to>
    <xdr:pic>
      <xdr:nvPicPr>
        <xdr:cNvPr id="29" name="ComboBox53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01000" y="6210300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51</xdr:row>
      <xdr:rowOff>0</xdr:rowOff>
    </xdr:from>
    <xdr:to>
      <xdr:col>43</xdr:col>
      <xdr:colOff>0</xdr:colOff>
      <xdr:row>52</xdr:row>
      <xdr:rowOff>0</xdr:rowOff>
    </xdr:to>
    <xdr:pic>
      <xdr:nvPicPr>
        <xdr:cNvPr id="30" name="ComboBox54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01000" y="6515100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53</xdr:row>
      <xdr:rowOff>0</xdr:rowOff>
    </xdr:from>
    <xdr:to>
      <xdr:col>43</xdr:col>
      <xdr:colOff>0</xdr:colOff>
      <xdr:row>54</xdr:row>
      <xdr:rowOff>0</xdr:rowOff>
    </xdr:to>
    <xdr:pic>
      <xdr:nvPicPr>
        <xdr:cNvPr id="31" name="ComboBox55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01000" y="6819900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55</xdr:row>
      <xdr:rowOff>0</xdr:rowOff>
    </xdr:from>
    <xdr:to>
      <xdr:col>43</xdr:col>
      <xdr:colOff>0</xdr:colOff>
      <xdr:row>56</xdr:row>
      <xdr:rowOff>0</xdr:rowOff>
    </xdr:to>
    <xdr:pic>
      <xdr:nvPicPr>
        <xdr:cNvPr id="32" name="ComboBox56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001000" y="7124700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40</xdr:col>
      <xdr:colOff>0</xdr:colOff>
      <xdr:row>57</xdr:row>
      <xdr:rowOff>0</xdr:rowOff>
    </xdr:from>
    <xdr:to>
      <xdr:col>43</xdr:col>
      <xdr:colOff>0</xdr:colOff>
      <xdr:row>58</xdr:row>
      <xdr:rowOff>0</xdr:rowOff>
    </xdr:to>
    <xdr:pic>
      <xdr:nvPicPr>
        <xdr:cNvPr id="33" name="ComboBox57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8001000" y="7429500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22</xdr:row>
      <xdr:rowOff>0</xdr:rowOff>
    </xdr:from>
    <xdr:to>
      <xdr:col>17</xdr:col>
      <xdr:colOff>0</xdr:colOff>
      <xdr:row>23</xdr:row>
      <xdr:rowOff>9525</xdr:rowOff>
    </xdr:to>
    <xdr:pic>
      <xdr:nvPicPr>
        <xdr:cNvPr id="34" name="ComboBox60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600325" y="2724150"/>
          <a:ext cx="800100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21</xdr:row>
      <xdr:rowOff>0</xdr:rowOff>
    </xdr:from>
    <xdr:to>
      <xdr:col>17</xdr:col>
      <xdr:colOff>0</xdr:colOff>
      <xdr:row>22</xdr:row>
      <xdr:rowOff>9525</xdr:rowOff>
    </xdr:to>
    <xdr:pic>
      <xdr:nvPicPr>
        <xdr:cNvPr id="35" name="ComboBox60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600325" y="2600325"/>
          <a:ext cx="800100" cy="133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35</xdr:col>
      <xdr:colOff>0</xdr:colOff>
      <xdr:row>44</xdr:row>
      <xdr:rowOff>0</xdr:rowOff>
    </xdr:from>
    <xdr:to>
      <xdr:col>39</xdr:col>
      <xdr:colOff>0</xdr:colOff>
      <xdr:row>45</xdr:row>
      <xdr:rowOff>0</xdr:rowOff>
    </xdr:to>
    <xdr:pic>
      <xdr:nvPicPr>
        <xdr:cNvPr id="36" name="ComboBox3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000875" y="5448300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35</xdr:col>
      <xdr:colOff>0</xdr:colOff>
      <xdr:row>46</xdr:row>
      <xdr:rowOff>0</xdr:rowOff>
    </xdr:from>
    <xdr:to>
      <xdr:col>39</xdr:col>
      <xdr:colOff>0</xdr:colOff>
      <xdr:row>47</xdr:row>
      <xdr:rowOff>0</xdr:rowOff>
    </xdr:to>
    <xdr:pic>
      <xdr:nvPicPr>
        <xdr:cNvPr id="37" name="ComboBox3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000875" y="5753100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35</xdr:col>
      <xdr:colOff>0</xdr:colOff>
      <xdr:row>48</xdr:row>
      <xdr:rowOff>0</xdr:rowOff>
    </xdr:from>
    <xdr:to>
      <xdr:col>39</xdr:col>
      <xdr:colOff>0</xdr:colOff>
      <xdr:row>49</xdr:row>
      <xdr:rowOff>0</xdr:rowOff>
    </xdr:to>
    <xdr:pic>
      <xdr:nvPicPr>
        <xdr:cNvPr id="38" name="ComboBox3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000875" y="6057900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35</xdr:col>
      <xdr:colOff>0</xdr:colOff>
      <xdr:row>50</xdr:row>
      <xdr:rowOff>0</xdr:rowOff>
    </xdr:from>
    <xdr:to>
      <xdr:col>39</xdr:col>
      <xdr:colOff>0</xdr:colOff>
      <xdr:row>51</xdr:row>
      <xdr:rowOff>0</xdr:rowOff>
    </xdr:to>
    <xdr:pic>
      <xdr:nvPicPr>
        <xdr:cNvPr id="39" name="ComboBox3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000875" y="6362700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35</xdr:col>
      <xdr:colOff>0</xdr:colOff>
      <xdr:row>52</xdr:row>
      <xdr:rowOff>0</xdr:rowOff>
    </xdr:from>
    <xdr:to>
      <xdr:col>39</xdr:col>
      <xdr:colOff>0</xdr:colOff>
      <xdr:row>53</xdr:row>
      <xdr:rowOff>0</xdr:rowOff>
    </xdr:to>
    <xdr:pic>
      <xdr:nvPicPr>
        <xdr:cNvPr id="40" name="ComboBox3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000875" y="6667500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35</xdr:col>
      <xdr:colOff>0</xdr:colOff>
      <xdr:row>54</xdr:row>
      <xdr:rowOff>0</xdr:rowOff>
    </xdr:from>
    <xdr:to>
      <xdr:col>39</xdr:col>
      <xdr:colOff>0</xdr:colOff>
      <xdr:row>55</xdr:row>
      <xdr:rowOff>0</xdr:rowOff>
    </xdr:to>
    <xdr:pic>
      <xdr:nvPicPr>
        <xdr:cNvPr id="41" name="ComboBox3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000875" y="6972300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35</xdr:col>
      <xdr:colOff>0</xdr:colOff>
      <xdr:row>56</xdr:row>
      <xdr:rowOff>0</xdr:rowOff>
    </xdr:from>
    <xdr:to>
      <xdr:col>39</xdr:col>
      <xdr:colOff>0</xdr:colOff>
      <xdr:row>57</xdr:row>
      <xdr:rowOff>0</xdr:rowOff>
    </xdr:to>
    <xdr:pic>
      <xdr:nvPicPr>
        <xdr:cNvPr id="42" name="ComboBox3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000875" y="7277100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M75"/>
  <sheetViews>
    <sheetView zoomScaleSheetLayoutView="100" workbookViewId="0" topLeftCell="A1">
      <selection activeCell="X5" sqref="X5"/>
    </sheetView>
  </sheetViews>
  <sheetFormatPr defaultColWidth="8.88671875" defaultRowHeight="13.5"/>
  <cols>
    <col min="1" max="40" width="2.3359375" style="2" customWidth="1"/>
    <col min="41" max="16384" width="8.88671875" style="2" customWidth="1"/>
  </cols>
  <sheetData>
    <row r="1" spans="1:34" ht="9.75" customHeight="1">
      <c r="A1" s="69" t="s">
        <v>14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4" ht="9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9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2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"/>
      <c r="W4" s="3"/>
      <c r="X4" s="3"/>
      <c r="Y4" s="3"/>
      <c r="Z4" s="3"/>
      <c r="AA4" s="3"/>
      <c r="AB4" s="3"/>
      <c r="AC4" s="4"/>
      <c r="AD4" s="5"/>
      <c r="AE4" s="5"/>
      <c r="AF4" s="5"/>
    </row>
    <row r="5" spans="1:34" ht="9.75" customHeight="1">
      <c r="A5" s="6"/>
      <c r="B5" s="6" t="s">
        <v>0</v>
      </c>
      <c r="C5" s="6"/>
      <c r="D5" s="6"/>
      <c r="E5" s="11" t="s">
        <v>10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3"/>
      <c r="S5" s="3"/>
      <c r="T5" s="5"/>
      <c r="U5" s="5"/>
      <c r="V5" s="5"/>
      <c r="Y5" s="3"/>
      <c r="Z5" s="6" t="s">
        <v>3</v>
      </c>
      <c r="AA5" s="3"/>
      <c r="AB5" s="3"/>
      <c r="AC5" s="68" t="s">
        <v>115</v>
      </c>
      <c r="AD5" s="68"/>
      <c r="AE5" s="68"/>
      <c r="AF5" s="68"/>
      <c r="AG5" s="68"/>
      <c r="AH5" s="4"/>
    </row>
    <row r="6" spans="1:34" ht="9.75" customHeight="1">
      <c r="A6" s="6"/>
      <c r="B6" s="6" t="s">
        <v>1</v>
      </c>
      <c r="C6" s="6"/>
      <c r="D6" s="6"/>
      <c r="E6" s="11" t="s">
        <v>11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5"/>
      <c r="U6" s="5"/>
      <c r="V6" s="5"/>
      <c r="Y6" s="6"/>
      <c r="Z6" s="6" t="s">
        <v>4</v>
      </c>
      <c r="AA6" s="3"/>
      <c r="AB6" s="3"/>
      <c r="AC6" s="68">
        <v>1</v>
      </c>
      <c r="AD6" s="68"/>
      <c r="AE6" s="8" t="s">
        <v>5</v>
      </c>
      <c r="AF6" s="68">
        <v>1</v>
      </c>
      <c r="AG6" s="68"/>
      <c r="AH6" s="4"/>
    </row>
    <row r="7" spans="1:34" ht="9.75" customHeight="1">
      <c r="A7" s="6"/>
      <c r="B7" s="6" t="s">
        <v>2</v>
      </c>
      <c r="C7" s="6"/>
      <c r="D7" s="6"/>
      <c r="E7" s="11" t="s">
        <v>12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Y7" s="6"/>
      <c r="Z7" s="3" t="s">
        <v>9</v>
      </c>
      <c r="AA7" s="3"/>
      <c r="AB7" s="3"/>
      <c r="AC7" s="68" t="s">
        <v>13</v>
      </c>
      <c r="AD7" s="68"/>
      <c r="AE7" s="68"/>
      <c r="AF7" s="68"/>
      <c r="AG7" s="68"/>
      <c r="AH7" s="3"/>
    </row>
    <row r="8" spans="1:33" ht="9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3"/>
      <c r="W8" s="3"/>
      <c r="X8" s="3"/>
      <c r="Y8" s="3"/>
      <c r="Z8" s="6" t="s">
        <v>6</v>
      </c>
      <c r="AA8" s="3"/>
      <c r="AB8" s="3"/>
      <c r="AC8" s="8">
        <v>0</v>
      </c>
      <c r="AD8" s="14"/>
      <c r="AE8" s="14"/>
      <c r="AF8" s="14"/>
      <c r="AG8" s="14"/>
    </row>
    <row r="9" spans="1:29" ht="9.75" customHeight="1">
      <c r="A9" s="6"/>
      <c r="B9" s="6" t="s">
        <v>84</v>
      </c>
      <c r="C9" s="6"/>
      <c r="D9" s="6"/>
      <c r="E9" s="6" t="s">
        <v>16</v>
      </c>
      <c r="F9" s="11" t="s">
        <v>17</v>
      </c>
      <c r="G9" s="6"/>
      <c r="H9" s="11" t="s">
        <v>18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3"/>
      <c r="W9" s="3"/>
      <c r="X9" s="3"/>
      <c r="Y9" s="3"/>
      <c r="Z9" s="3"/>
      <c r="AA9" s="3"/>
      <c r="AB9" s="3"/>
      <c r="AC9" s="3"/>
    </row>
    <row r="10" spans="1:29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3"/>
      <c r="W10" s="3"/>
      <c r="X10" s="3"/>
      <c r="Y10" s="3"/>
      <c r="Z10" s="3"/>
      <c r="AA10" s="3"/>
      <c r="AB10" s="3"/>
      <c r="AC10" s="3"/>
    </row>
    <row r="11" spans="1:29" ht="9.75" customHeight="1">
      <c r="A11" s="1"/>
      <c r="B11" s="1" t="s">
        <v>15</v>
      </c>
      <c r="C11" s="1"/>
      <c r="D11" s="1"/>
      <c r="E11" s="1" t="s">
        <v>16</v>
      </c>
      <c r="F11" s="9" t="s">
        <v>19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AC11" s="3"/>
    </row>
    <row r="12" spans="1:29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AC12" s="3"/>
    </row>
    <row r="13" spans="1:30" ht="9.75" customHeight="1">
      <c r="A13" s="6"/>
      <c r="B13" s="6"/>
      <c r="C13" s="15" t="s">
        <v>20</v>
      </c>
      <c r="D13" s="6"/>
      <c r="E13" s="6"/>
      <c r="F13" s="6"/>
      <c r="G13" s="6"/>
      <c r="H13" s="6"/>
      <c r="I13" s="6"/>
      <c r="J13" s="6"/>
      <c r="K13" s="6"/>
      <c r="L13" s="6"/>
      <c r="N13" s="6"/>
      <c r="O13" s="6"/>
      <c r="P13" s="6"/>
      <c r="Q13" s="6"/>
      <c r="R13" s="6"/>
      <c r="S13" s="6"/>
      <c r="T13" s="6"/>
      <c r="U13" s="6"/>
      <c r="V13" s="6"/>
      <c r="W13" s="3"/>
      <c r="X13" s="3"/>
      <c r="Y13" s="3"/>
      <c r="Z13" s="3"/>
      <c r="AA13" s="3"/>
      <c r="AB13" s="3"/>
      <c r="AC13" s="3"/>
      <c r="AD13" s="3"/>
    </row>
    <row r="14" spans="1:31" ht="9.75" customHeight="1">
      <c r="A14" s="6"/>
      <c r="B14" s="6"/>
      <c r="C14" s="7" t="s">
        <v>87</v>
      </c>
      <c r="D14" s="6"/>
      <c r="E14" s="6"/>
      <c r="F14" s="6"/>
      <c r="G14" s="6"/>
      <c r="H14" s="6"/>
      <c r="I14" s="6"/>
      <c r="J14" s="6"/>
      <c r="K14" s="3"/>
      <c r="L14" s="7" t="s">
        <v>10</v>
      </c>
      <c r="N14" s="5" t="s">
        <v>47</v>
      </c>
      <c r="P14" s="6"/>
      <c r="Q14" s="63">
        <v>10.5</v>
      </c>
      <c r="R14" s="63"/>
      <c r="S14" s="63"/>
      <c r="T14" s="6"/>
      <c r="U14" s="6" t="s">
        <v>29</v>
      </c>
      <c r="V14" s="6"/>
      <c r="W14" s="6"/>
      <c r="X14" s="6"/>
      <c r="Y14" s="6"/>
      <c r="Z14" s="3"/>
      <c r="AA14" s="3"/>
      <c r="AB14" s="3"/>
      <c r="AC14" s="3"/>
      <c r="AD14" s="3"/>
      <c r="AE14" s="3"/>
    </row>
    <row r="15" spans="1:31" ht="9.75" customHeight="1">
      <c r="A15" s="6"/>
      <c r="B15" s="6"/>
      <c r="C15" s="7" t="s">
        <v>88</v>
      </c>
      <c r="D15" s="6"/>
      <c r="E15" s="6"/>
      <c r="F15" s="6"/>
      <c r="G15" s="6"/>
      <c r="H15" s="6"/>
      <c r="I15" s="6"/>
      <c r="J15" s="6"/>
      <c r="K15" s="3"/>
      <c r="L15" s="6"/>
      <c r="N15" s="5"/>
      <c r="P15" s="6"/>
      <c r="Q15" s="63">
        <v>240</v>
      </c>
      <c r="R15" s="63"/>
      <c r="S15" s="63"/>
      <c r="T15" s="6"/>
      <c r="U15" s="6" t="s">
        <v>41</v>
      </c>
      <c r="V15" s="6"/>
      <c r="W15" s="6"/>
      <c r="X15" s="6"/>
      <c r="Y15" s="6"/>
      <c r="Z15" s="3"/>
      <c r="AA15" s="3"/>
      <c r="AB15" s="3"/>
      <c r="AC15" s="3"/>
      <c r="AD15" s="3"/>
      <c r="AE15" s="3"/>
    </row>
    <row r="16" spans="1:25" ht="9.75" customHeight="1">
      <c r="A16" s="1"/>
      <c r="B16" s="1"/>
      <c r="C16" s="9" t="s">
        <v>89</v>
      </c>
      <c r="D16" s="1"/>
      <c r="E16" s="1"/>
      <c r="F16" s="1"/>
      <c r="G16" s="1"/>
      <c r="H16" s="1"/>
      <c r="I16" s="1"/>
      <c r="J16" s="1"/>
      <c r="L16" s="1"/>
      <c r="N16" s="5"/>
      <c r="P16" s="1"/>
      <c r="Q16" s="62" t="s">
        <v>34</v>
      </c>
      <c r="R16" s="62"/>
      <c r="S16" s="62"/>
      <c r="T16" s="1"/>
      <c r="U16" s="1"/>
      <c r="V16" s="1"/>
      <c r="W16" s="1"/>
      <c r="X16" s="1"/>
      <c r="Y16" s="1"/>
    </row>
    <row r="17" spans="1:31" ht="9.75" customHeight="1">
      <c r="A17" s="6"/>
      <c r="B17" s="6"/>
      <c r="C17" s="1" t="s">
        <v>26</v>
      </c>
      <c r="D17" s="6"/>
      <c r="E17" s="6"/>
      <c r="F17" s="6"/>
      <c r="G17" s="6"/>
      <c r="H17" s="6"/>
      <c r="I17" s="6"/>
      <c r="J17" s="6"/>
      <c r="K17" s="3"/>
      <c r="L17" s="6"/>
      <c r="N17" s="5"/>
      <c r="P17" s="6"/>
      <c r="Q17" s="62" t="s">
        <v>42</v>
      </c>
      <c r="R17" s="62"/>
      <c r="S17" s="62"/>
      <c r="T17" s="6"/>
      <c r="U17" s="6"/>
      <c r="V17" s="6"/>
      <c r="W17" s="6"/>
      <c r="X17" s="6"/>
      <c r="Y17" s="6"/>
      <c r="Z17" s="3"/>
      <c r="AA17" s="3"/>
      <c r="AB17" s="3"/>
      <c r="AC17" s="3"/>
      <c r="AD17" s="3"/>
      <c r="AE17" s="3"/>
    </row>
    <row r="18" spans="1:31" ht="9.75" customHeight="1">
      <c r="A18" s="6"/>
      <c r="B18" s="6"/>
      <c r="C18" s="6" t="s">
        <v>37</v>
      </c>
      <c r="D18" s="6"/>
      <c r="E18" s="6"/>
      <c r="F18" s="6"/>
      <c r="G18" s="6"/>
      <c r="H18" s="6"/>
      <c r="I18" s="6"/>
      <c r="J18" s="6"/>
      <c r="K18" s="3"/>
      <c r="L18" s="7" t="s">
        <v>39</v>
      </c>
      <c r="N18" s="5" t="s">
        <v>47</v>
      </c>
      <c r="P18" s="6"/>
      <c r="Q18" s="61">
        <f>stress(Q16,"plate",Q17,Q15,U15,U14,3)</f>
        <v>1406.1391592783186</v>
      </c>
      <c r="R18" s="61"/>
      <c r="S18" s="61"/>
      <c r="T18" s="6"/>
      <c r="U18" s="6" t="str">
        <f>upsx(U14)</f>
        <v>kg/cm2</v>
      </c>
      <c r="V18" s="6"/>
      <c r="W18" s="6"/>
      <c r="X18" s="6"/>
      <c r="Y18" s="6"/>
      <c r="Z18" s="3"/>
      <c r="AA18" s="3"/>
      <c r="AB18" s="3"/>
      <c r="AC18" s="3"/>
      <c r="AD18" s="3"/>
      <c r="AE18" s="3"/>
    </row>
    <row r="19" spans="1:31" ht="9.75" customHeight="1">
      <c r="A19" s="1"/>
      <c r="B19" s="1"/>
      <c r="C19" s="1" t="s">
        <v>38</v>
      </c>
      <c r="D19" s="1"/>
      <c r="E19" s="1"/>
      <c r="F19" s="1"/>
      <c r="G19" s="1"/>
      <c r="H19" s="1"/>
      <c r="I19" s="1"/>
      <c r="J19" s="1"/>
      <c r="L19" s="9" t="s">
        <v>40</v>
      </c>
      <c r="N19" s="5" t="s">
        <v>47</v>
      </c>
      <c r="P19" s="1"/>
      <c r="Q19" s="61">
        <f>ystrength(Q16,"plate",Q17,Q15,U15,U14,3)</f>
        <v>2217.4814541819087</v>
      </c>
      <c r="R19" s="61"/>
      <c r="S19" s="61"/>
      <c r="T19" s="1"/>
      <c r="U19" s="1" t="str">
        <f>U18</f>
        <v>kg/cm2</v>
      </c>
      <c r="V19" s="1"/>
      <c r="W19" s="1"/>
      <c r="X19" s="1"/>
      <c r="Y19" s="1"/>
      <c r="AC19" s="3"/>
      <c r="AD19" s="3"/>
      <c r="AE19" s="3"/>
    </row>
    <row r="20" spans="1:25" ht="9.75" customHeight="1">
      <c r="A20" s="1"/>
      <c r="B20" s="1"/>
      <c r="C20" s="6" t="s">
        <v>27</v>
      </c>
      <c r="D20" s="1"/>
      <c r="E20" s="1"/>
      <c r="F20" s="1"/>
      <c r="G20" s="1"/>
      <c r="H20" s="1"/>
      <c r="I20" s="1"/>
      <c r="J20" s="1"/>
      <c r="L20" s="1"/>
      <c r="N20" s="5"/>
      <c r="P20" s="1"/>
      <c r="Q20" s="63">
        <v>1900</v>
      </c>
      <c r="R20" s="63"/>
      <c r="S20" s="63"/>
      <c r="T20" s="1"/>
      <c r="U20" s="1" t="s">
        <v>30</v>
      </c>
      <c r="V20" s="1"/>
      <c r="W20" s="1"/>
      <c r="X20" s="1"/>
      <c r="Y20" s="1"/>
    </row>
    <row r="21" spans="1:31" ht="9.75" customHeight="1">
      <c r="A21" s="6"/>
      <c r="B21" s="6"/>
      <c r="C21" s="1" t="s">
        <v>25</v>
      </c>
      <c r="D21" s="6"/>
      <c r="E21" s="6"/>
      <c r="F21" s="6"/>
      <c r="G21" s="6"/>
      <c r="H21" s="6"/>
      <c r="I21" s="6"/>
      <c r="J21" s="6"/>
      <c r="K21" s="3"/>
      <c r="L21" s="7" t="s">
        <v>56</v>
      </c>
      <c r="N21" s="5" t="s">
        <v>47</v>
      </c>
      <c r="P21" s="6"/>
      <c r="Q21" s="63">
        <v>19</v>
      </c>
      <c r="R21" s="63"/>
      <c r="S21" s="63"/>
      <c r="T21" s="6"/>
      <c r="U21" s="6" t="s">
        <v>30</v>
      </c>
      <c r="V21" s="6"/>
      <c r="W21" s="6"/>
      <c r="X21" s="6"/>
      <c r="Y21" s="6"/>
      <c r="Z21" s="3"/>
      <c r="AA21" s="3"/>
      <c r="AB21" s="3"/>
      <c r="AC21" s="3"/>
      <c r="AD21" s="3"/>
      <c r="AE21" s="3"/>
    </row>
    <row r="22" spans="1:31" ht="9.75" customHeight="1">
      <c r="A22" s="6"/>
      <c r="B22" s="6"/>
      <c r="C22" s="6" t="s">
        <v>100</v>
      </c>
      <c r="D22" s="6"/>
      <c r="E22" s="6"/>
      <c r="F22" s="6"/>
      <c r="G22" s="6"/>
      <c r="H22" s="6"/>
      <c r="I22" s="6"/>
      <c r="J22" s="6"/>
      <c r="K22" s="6"/>
      <c r="L22" s="7" t="s">
        <v>101</v>
      </c>
      <c r="M22" s="6"/>
      <c r="N22" s="5" t="s">
        <v>47</v>
      </c>
      <c r="P22" s="6"/>
      <c r="Q22" s="63">
        <v>10</v>
      </c>
      <c r="R22" s="63"/>
      <c r="S22" s="63"/>
      <c r="T22" s="6"/>
      <c r="U22" s="6" t="s">
        <v>102</v>
      </c>
      <c r="V22" s="6"/>
      <c r="W22" s="6"/>
      <c r="X22" s="3"/>
      <c r="Y22" s="57"/>
      <c r="Z22" s="57"/>
      <c r="AB22" s="3"/>
      <c r="AC22" s="3"/>
      <c r="AD22" s="3"/>
      <c r="AE22" s="3"/>
    </row>
    <row r="23" spans="1:31" ht="9.75" customHeight="1">
      <c r="A23" s="6"/>
      <c r="B23" s="6"/>
      <c r="C23" s="6" t="s">
        <v>33</v>
      </c>
      <c r="D23" s="6"/>
      <c r="E23" s="6"/>
      <c r="F23" s="6"/>
      <c r="G23" s="6"/>
      <c r="H23" s="6"/>
      <c r="I23" s="6"/>
      <c r="J23" s="6"/>
      <c r="K23" s="3"/>
      <c r="L23" s="6"/>
      <c r="N23" s="5"/>
      <c r="P23" s="6"/>
      <c r="Q23" s="63">
        <v>3</v>
      </c>
      <c r="R23" s="63"/>
      <c r="S23" s="63"/>
      <c r="T23" s="6"/>
      <c r="U23" s="6" t="s">
        <v>30</v>
      </c>
      <c r="V23" s="6"/>
      <c r="W23" s="6"/>
      <c r="X23" s="6"/>
      <c r="Y23" s="6"/>
      <c r="Z23" s="3"/>
      <c r="AA23" s="3"/>
      <c r="AB23" s="3"/>
      <c r="AC23" s="3"/>
      <c r="AD23" s="3"/>
      <c r="AE23" s="3"/>
    </row>
    <row r="24" spans="1:31" ht="9.75" customHeight="1">
      <c r="A24" s="6"/>
      <c r="B24" s="6"/>
      <c r="C24" s="6" t="s">
        <v>31</v>
      </c>
      <c r="D24" s="6"/>
      <c r="E24" s="6"/>
      <c r="F24" s="6"/>
      <c r="G24" s="6"/>
      <c r="H24" s="6"/>
      <c r="I24" s="6"/>
      <c r="J24" s="6"/>
      <c r="K24" s="3"/>
      <c r="L24" s="7" t="s">
        <v>32</v>
      </c>
      <c r="N24" s="5" t="s">
        <v>47</v>
      </c>
      <c r="P24" s="6"/>
      <c r="Q24" s="62">
        <f>(Q20+2*Q23+(Q21-Q23))/2</f>
        <v>961</v>
      </c>
      <c r="R24" s="62"/>
      <c r="S24" s="62"/>
      <c r="T24" s="6"/>
      <c r="U24" s="6" t="s">
        <v>30</v>
      </c>
      <c r="V24" s="6"/>
      <c r="W24" s="6"/>
      <c r="X24" s="6"/>
      <c r="Y24" s="6"/>
      <c r="Z24" s="3"/>
      <c r="AA24" s="3"/>
      <c r="AB24" s="3"/>
      <c r="AC24" s="3"/>
      <c r="AD24" s="3"/>
      <c r="AE24" s="3"/>
    </row>
    <row r="25" spans="1:25" ht="9.75" customHeight="1">
      <c r="A25" s="1"/>
      <c r="B25" s="1"/>
      <c r="C25" s="9" t="s">
        <v>90</v>
      </c>
      <c r="D25" s="1"/>
      <c r="E25" s="1"/>
      <c r="F25" s="1"/>
      <c r="G25" s="1"/>
      <c r="H25" s="1"/>
      <c r="I25" s="1"/>
      <c r="J25" s="1"/>
      <c r="L25" s="1"/>
      <c r="N25" s="5"/>
      <c r="P25" s="1"/>
      <c r="Q25" s="62" t="s">
        <v>34</v>
      </c>
      <c r="R25" s="62"/>
      <c r="S25" s="62"/>
      <c r="T25" s="1"/>
      <c r="U25" s="1"/>
      <c r="V25" s="1"/>
      <c r="W25" s="1"/>
      <c r="X25" s="1"/>
      <c r="Y25" s="1"/>
    </row>
    <row r="26" spans="1:31" ht="9.75" customHeight="1">
      <c r="A26" s="6"/>
      <c r="B26" s="6"/>
      <c r="C26" s="6" t="s">
        <v>21</v>
      </c>
      <c r="D26" s="6"/>
      <c r="E26" s="6"/>
      <c r="F26" s="6"/>
      <c r="G26" s="6"/>
      <c r="H26" s="6"/>
      <c r="I26" s="6"/>
      <c r="J26" s="6"/>
      <c r="K26" s="3"/>
      <c r="L26" s="6"/>
      <c r="N26" s="5"/>
      <c r="P26" s="6"/>
      <c r="Q26" s="62" t="s">
        <v>35</v>
      </c>
      <c r="R26" s="62"/>
      <c r="S26" s="62"/>
      <c r="T26" s="6"/>
      <c r="U26" s="6"/>
      <c r="V26" s="6"/>
      <c r="W26" s="6"/>
      <c r="X26" s="6"/>
      <c r="Y26" s="6"/>
      <c r="Z26" s="3"/>
      <c r="AA26" s="3"/>
      <c r="AB26" s="3"/>
      <c r="AC26" s="3"/>
      <c r="AD26" s="3"/>
      <c r="AE26" s="3"/>
    </row>
    <row r="27" spans="1:31" ht="9.75" customHeight="1">
      <c r="A27" s="6"/>
      <c r="B27" s="6"/>
      <c r="C27" s="6" t="s">
        <v>22</v>
      </c>
      <c r="D27" s="6"/>
      <c r="E27" s="6"/>
      <c r="F27" s="6"/>
      <c r="G27" s="6"/>
      <c r="H27" s="6"/>
      <c r="I27" s="6"/>
      <c r="J27" s="6"/>
      <c r="K27" s="3"/>
      <c r="L27" s="6"/>
      <c r="N27" s="5"/>
      <c r="P27" s="6"/>
      <c r="Q27" s="62" t="s">
        <v>99</v>
      </c>
      <c r="R27" s="62"/>
      <c r="S27" s="62"/>
      <c r="T27" s="6"/>
      <c r="U27" s="6"/>
      <c r="V27" s="6"/>
      <c r="W27" s="6"/>
      <c r="X27" s="6"/>
      <c r="Y27" s="6"/>
      <c r="Z27" s="3"/>
      <c r="AA27" s="3"/>
      <c r="AB27" s="3"/>
      <c r="AC27" s="3"/>
      <c r="AD27" s="3"/>
      <c r="AE27" s="3"/>
    </row>
    <row r="28" spans="1:25" ht="9.75" customHeight="1">
      <c r="A28" s="1"/>
      <c r="B28" s="1"/>
      <c r="C28" s="1" t="s">
        <v>23</v>
      </c>
      <c r="D28" s="1"/>
      <c r="E28" s="1"/>
      <c r="F28" s="1"/>
      <c r="G28" s="1"/>
      <c r="H28" s="1"/>
      <c r="I28" s="1"/>
      <c r="J28" s="1"/>
      <c r="L28" s="1"/>
      <c r="N28" s="5"/>
      <c r="P28" s="1"/>
      <c r="Q28" s="62" t="s">
        <v>36</v>
      </c>
      <c r="R28" s="62"/>
      <c r="S28" s="62"/>
      <c r="T28" s="1"/>
      <c r="U28" s="1"/>
      <c r="V28" s="1"/>
      <c r="W28" s="1"/>
      <c r="X28" s="1"/>
      <c r="Y28" s="1"/>
    </row>
    <row r="29" spans="1:31" ht="9.75" customHeight="1">
      <c r="A29" s="6"/>
      <c r="B29" s="6"/>
      <c r="C29" s="6" t="s">
        <v>24</v>
      </c>
      <c r="D29" s="6"/>
      <c r="E29" s="6"/>
      <c r="F29" s="6"/>
      <c r="G29" s="6"/>
      <c r="H29" s="6"/>
      <c r="I29" s="6"/>
      <c r="J29" s="6"/>
      <c r="K29" s="3"/>
      <c r="L29" s="1"/>
      <c r="N29" s="5"/>
      <c r="P29" s="6"/>
      <c r="Q29" s="62">
        <f>pipe(Q25,Q26,Q27,Q28,1)</f>
        <v>762</v>
      </c>
      <c r="R29" s="62"/>
      <c r="S29" s="62"/>
      <c r="T29" s="6"/>
      <c r="U29" s="6" t="s">
        <v>30</v>
      </c>
      <c r="V29" s="6"/>
      <c r="W29" s="6"/>
      <c r="X29" s="6"/>
      <c r="Y29" s="6"/>
      <c r="AC29" s="3"/>
      <c r="AD29" s="3"/>
      <c r="AE29" s="3"/>
    </row>
    <row r="30" spans="1:25" ht="9.75" customHeight="1">
      <c r="A30" s="1"/>
      <c r="B30" s="1"/>
      <c r="C30" s="6" t="s">
        <v>28</v>
      </c>
      <c r="D30" s="1"/>
      <c r="E30" s="1"/>
      <c r="F30" s="1"/>
      <c r="G30" s="1"/>
      <c r="H30" s="1"/>
      <c r="I30" s="1"/>
      <c r="J30" s="1"/>
      <c r="L30" s="9" t="s">
        <v>45</v>
      </c>
      <c r="N30" s="5" t="s">
        <v>47</v>
      </c>
      <c r="P30" s="1"/>
      <c r="Q30" s="62">
        <f>Q29/2</f>
        <v>381</v>
      </c>
      <c r="R30" s="62"/>
      <c r="S30" s="62"/>
      <c r="T30" s="1"/>
      <c r="U30" s="1" t="s">
        <v>46</v>
      </c>
      <c r="V30" s="1"/>
      <c r="W30" s="1"/>
      <c r="X30" s="1"/>
      <c r="Y30" s="1"/>
    </row>
    <row r="31" spans="1:25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L31" s="1"/>
      <c r="N31" s="5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9.75" customHeight="1">
      <c r="A32" s="1"/>
      <c r="B32" s="1"/>
      <c r="C32" s="17" t="s">
        <v>43</v>
      </c>
      <c r="D32" s="1"/>
      <c r="E32" s="1"/>
      <c r="F32" s="1"/>
      <c r="G32" s="1"/>
      <c r="H32" s="1"/>
      <c r="I32" s="1"/>
      <c r="J32" s="1"/>
      <c r="K32" s="1"/>
      <c r="N32" s="5" t="s">
        <v>103</v>
      </c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9.75" customHeight="1">
      <c r="A33" s="1"/>
      <c r="B33" s="1"/>
      <c r="C33" s="9" t="s">
        <v>117</v>
      </c>
      <c r="D33" s="1"/>
      <c r="E33" s="1" t="s">
        <v>103</v>
      </c>
      <c r="F33" s="1" t="s">
        <v>119</v>
      </c>
      <c r="G33" s="1"/>
      <c r="H33" s="1"/>
      <c r="I33" s="1"/>
      <c r="J33" s="1"/>
      <c r="L33" s="9"/>
      <c r="N33" s="5" t="s">
        <v>103</v>
      </c>
      <c r="P33" s="1"/>
      <c r="Q33" s="61">
        <f>(Q21^2+Q22^2)^0.5</f>
        <v>21.470910553583888</v>
      </c>
      <c r="R33" s="61"/>
      <c r="S33" s="61"/>
      <c r="T33" s="1"/>
      <c r="U33" s="1" t="s">
        <v>104</v>
      </c>
      <c r="V33" s="1"/>
      <c r="W33" s="1"/>
      <c r="X33" s="1"/>
      <c r="Y33" s="1"/>
    </row>
    <row r="34" spans="1:25" ht="9.75" customHeight="1">
      <c r="A34" s="1"/>
      <c r="B34" s="1"/>
      <c r="C34" s="18" t="s">
        <v>48</v>
      </c>
      <c r="D34" s="1"/>
      <c r="E34" s="1" t="s">
        <v>44</v>
      </c>
      <c r="F34" s="1" t="s">
        <v>98</v>
      </c>
      <c r="G34" s="1"/>
      <c r="H34" s="1"/>
      <c r="I34" s="1"/>
      <c r="J34" s="1"/>
      <c r="N34" s="5" t="s">
        <v>47</v>
      </c>
      <c r="P34" s="1"/>
      <c r="Q34" s="50">
        <f>0.875*Q30/Q24</f>
        <v>0.34690426638917793</v>
      </c>
      <c r="R34" s="50"/>
      <c r="S34" s="50"/>
      <c r="T34" s="1"/>
      <c r="X34" s="1"/>
      <c r="Y34" s="1"/>
    </row>
    <row r="35" spans="1:31" ht="9.75" customHeight="1">
      <c r="A35" s="6"/>
      <c r="B35" s="6"/>
      <c r="C35" s="19" t="s">
        <v>49</v>
      </c>
      <c r="D35" s="6"/>
      <c r="E35" s="6" t="s">
        <v>47</v>
      </c>
      <c r="F35" s="6" t="s">
        <v>118</v>
      </c>
      <c r="G35" s="6"/>
      <c r="H35" s="6"/>
      <c r="I35" s="6"/>
      <c r="J35" s="6"/>
      <c r="L35" s="3"/>
      <c r="N35" s="4" t="s">
        <v>47</v>
      </c>
      <c r="P35" s="6"/>
      <c r="Q35" s="61">
        <f>Q24/Q33</f>
        <v>44.75823219521501</v>
      </c>
      <c r="R35" s="61"/>
      <c r="S35" s="61"/>
      <c r="T35" s="6"/>
      <c r="U35" s="6"/>
      <c r="V35" s="6"/>
      <c r="W35" s="6"/>
      <c r="X35" s="6"/>
      <c r="Y35" s="6"/>
      <c r="Z35" s="3"/>
      <c r="AA35" s="3"/>
      <c r="AB35" s="3"/>
      <c r="AC35" s="3"/>
      <c r="AD35" s="3"/>
      <c r="AE35" s="3"/>
    </row>
    <row r="36" spans="1:31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N36" s="4"/>
      <c r="P36" s="1"/>
      <c r="Q36" s="1"/>
      <c r="R36" s="1"/>
      <c r="S36" s="1"/>
      <c r="T36" s="1"/>
      <c r="U36" s="1"/>
      <c r="V36" s="1"/>
      <c r="W36" s="1"/>
      <c r="AE36" s="3"/>
    </row>
    <row r="37" spans="1:30" ht="9.75" customHeight="1">
      <c r="A37" s="6"/>
      <c r="B37" s="6"/>
      <c r="C37" s="15" t="s">
        <v>50</v>
      </c>
      <c r="D37" s="6"/>
      <c r="E37" s="6"/>
      <c r="F37" s="6"/>
      <c r="G37" s="6"/>
      <c r="H37" s="6"/>
      <c r="I37" s="6"/>
      <c r="J37" s="6"/>
      <c r="K37" s="6"/>
      <c r="L37" s="6"/>
      <c r="N37" s="4"/>
      <c r="P37" s="6"/>
      <c r="Q37" s="6"/>
      <c r="R37" s="6"/>
      <c r="S37" s="6"/>
      <c r="T37" s="6"/>
      <c r="U37" s="6"/>
      <c r="V37" s="6"/>
      <c r="W37" s="6"/>
      <c r="X37" s="3"/>
      <c r="Y37" s="3"/>
      <c r="Z37" s="3"/>
      <c r="AA37" s="3"/>
      <c r="AB37" s="3"/>
      <c r="AC37" s="3"/>
      <c r="AD37" s="3"/>
    </row>
    <row r="38" spans="1:31" ht="9.75" customHeight="1">
      <c r="A38" s="6"/>
      <c r="B38" s="6"/>
      <c r="C38" s="19" t="s">
        <v>51</v>
      </c>
      <c r="D38" s="6"/>
      <c r="E38" s="6" t="s">
        <v>91</v>
      </c>
      <c r="F38" s="6" t="s">
        <v>92</v>
      </c>
      <c r="G38" s="6"/>
      <c r="H38" s="6"/>
      <c r="I38" s="6"/>
      <c r="J38" s="6"/>
      <c r="L38" s="6"/>
      <c r="N38" s="4" t="s">
        <v>47</v>
      </c>
      <c r="P38" s="6"/>
      <c r="Q38" s="60">
        <f>factorNZLDA(Q34,Q35,1)</f>
        <v>396.80023456467757</v>
      </c>
      <c r="R38" s="60"/>
      <c r="S38" s="60"/>
      <c r="T38" s="6"/>
      <c r="U38" s="6"/>
      <c r="V38" s="6"/>
      <c r="W38" s="6"/>
      <c r="X38" s="3"/>
      <c r="Y38" s="3"/>
      <c r="Z38" s="3"/>
      <c r="AA38" s="3"/>
      <c r="AB38" s="3"/>
      <c r="AC38" s="3"/>
      <c r="AD38" s="3"/>
      <c r="AE38" s="3"/>
    </row>
    <row r="39" spans="1:31" ht="9.75" customHeight="1">
      <c r="A39" s="6"/>
      <c r="B39" s="6"/>
      <c r="C39" s="19" t="s">
        <v>52</v>
      </c>
      <c r="D39" s="6"/>
      <c r="E39" s="6" t="s">
        <v>91</v>
      </c>
      <c r="F39" s="6" t="s">
        <v>93</v>
      </c>
      <c r="G39" s="6"/>
      <c r="H39" s="6"/>
      <c r="I39" s="6"/>
      <c r="J39" s="6"/>
      <c r="L39" s="6"/>
      <c r="N39" s="4" t="s">
        <v>47</v>
      </c>
      <c r="P39" s="6"/>
      <c r="Q39" s="60">
        <f>factorNZLDA(Q34,Q35,2)</f>
        <v>957.4529774948174</v>
      </c>
      <c r="R39" s="60"/>
      <c r="S39" s="60"/>
      <c r="T39" s="6"/>
      <c r="U39" s="6"/>
      <c r="V39" s="6"/>
      <c r="W39" s="6"/>
      <c r="X39" s="3"/>
      <c r="Y39" s="3"/>
      <c r="Z39" s="3"/>
      <c r="AA39" s="3"/>
      <c r="AB39" s="3"/>
      <c r="AC39" s="3"/>
      <c r="AD39" s="3"/>
      <c r="AE39" s="3"/>
    </row>
    <row r="40" spans="1:31" ht="9.75" customHeight="1">
      <c r="A40" s="1"/>
      <c r="B40" s="1"/>
      <c r="C40" s="18" t="s">
        <v>53</v>
      </c>
      <c r="D40" s="1"/>
      <c r="E40" s="1" t="s">
        <v>91</v>
      </c>
      <c r="F40" s="6" t="s">
        <v>94</v>
      </c>
      <c r="G40" s="1"/>
      <c r="H40" s="1"/>
      <c r="I40" s="1"/>
      <c r="J40" s="1"/>
      <c r="L40" s="1"/>
      <c r="N40" s="4" t="s">
        <v>47</v>
      </c>
      <c r="P40" s="1"/>
      <c r="Q40" s="60">
        <f>factorNZLDA(Q34,Q35,3)</f>
        <v>294.1485789248561</v>
      </c>
      <c r="R40" s="60"/>
      <c r="S40" s="60"/>
      <c r="T40" s="1"/>
      <c r="U40" s="1"/>
      <c r="V40" s="1"/>
      <c r="W40" s="1"/>
      <c r="AE40" s="3"/>
    </row>
    <row r="41" spans="1:31" ht="9.75" customHeight="1">
      <c r="A41" s="1"/>
      <c r="B41" s="1"/>
      <c r="C41" s="17" t="s">
        <v>54</v>
      </c>
      <c r="D41" s="1"/>
      <c r="E41" s="1"/>
      <c r="F41" s="1"/>
      <c r="G41" s="1"/>
      <c r="H41" s="1"/>
      <c r="I41" s="1"/>
      <c r="J41" s="1"/>
      <c r="K41" s="1"/>
      <c r="L41" s="1"/>
      <c r="N41" s="4"/>
      <c r="P41" s="1"/>
      <c r="Q41" s="1"/>
      <c r="R41" s="1"/>
      <c r="S41" s="1"/>
      <c r="T41" s="1"/>
      <c r="U41" s="1"/>
      <c r="V41" s="1"/>
      <c r="W41" s="1"/>
      <c r="AE41" s="3"/>
    </row>
    <row r="42" spans="1:31" ht="9.75" customHeight="1">
      <c r="A42" s="6"/>
      <c r="B42" s="6"/>
      <c r="C42" s="6" t="s">
        <v>55</v>
      </c>
      <c r="D42" s="6"/>
      <c r="E42" s="6"/>
      <c r="F42" s="6"/>
      <c r="G42" s="6"/>
      <c r="H42" s="6"/>
      <c r="I42" s="6"/>
      <c r="J42" s="6"/>
      <c r="K42" s="6"/>
      <c r="L42" s="6"/>
      <c r="N42" s="4"/>
      <c r="P42" s="6"/>
      <c r="Q42" s="6"/>
      <c r="R42" s="6"/>
      <c r="S42" s="6"/>
      <c r="T42" s="6"/>
      <c r="U42" s="6"/>
      <c r="V42" s="6"/>
      <c r="W42" s="6"/>
      <c r="X42" s="3"/>
      <c r="Y42" s="3"/>
      <c r="Z42" s="3"/>
      <c r="AA42" s="3"/>
      <c r="AB42" s="3"/>
      <c r="AC42" s="3"/>
      <c r="AD42" s="3"/>
      <c r="AE42" s="3"/>
    </row>
    <row r="43" spans="1:31" ht="9.75" customHeight="1">
      <c r="A43" s="1"/>
      <c r="B43" s="1"/>
      <c r="C43" s="64" t="s">
        <v>59</v>
      </c>
      <c r="D43" s="1"/>
      <c r="E43" s="58" t="s">
        <v>47</v>
      </c>
      <c r="F43" s="65" t="s">
        <v>62</v>
      </c>
      <c r="G43" s="65"/>
      <c r="H43" s="59" t="s">
        <v>61</v>
      </c>
      <c r="I43" s="59" t="s">
        <v>57</v>
      </c>
      <c r="J43" s="59" t="s">
        <v>58</v>
      </c>
      <c r="K43" s="16" t="s">
        <v>117</v>
      </c>
      <c r="L43" s="59" t="s">
        <v>60</v>
      </c>
      <c r="N43" s="58" t="s">
        <v>47</v>
      </c>
      <c r="P43" s="1"/>
      <c r="Q43" s="67">
        <f>2*Q14/Q33*(Q24-Q33/2)</f>
        <v>929.4228760995151</v>
      </c>
      <c r="R43" s="67"/>
      <c r="S43" s="67"/>
      <c r="T43" s="1"/>
      <c r="U43" s="58" t="str">
        <f>upsx(U14)</f>
        <v>kg/cm2</v>
      </c>
      <c r="V43" s="58"/>
      <c r="W43" s="1"/>
      <c r="AE43" s="3"/>
    </row>
    <row r="44" spans="1:30" ht="9.75" customHeight="1">
      <c r="A44" s="6"/>
      <c r="B44" s="6"/>
      <c r="C44" s="64"/>
      <c r="D44" s="6"/>
      <c r="E44" s="58"/>
      <c r="F44" s="66" t="s">
        <v>117</v>
      </c>
      <c r="G44" s="66"/>
      <c r="H44" s="59"/>
      <c r="I44" s="59"/>
      <c r="J44" s="59"/>
      <c r="K44" s="20">
        <v>2</v>
      </c>
      <c r="L44" s="59"/>
      <c r="N44" s="58"/>
      <c r="P44" s="6"/>
      <c r="Q44" s="67"/>
      <c r="R44" s="67"/>
      <c r="S44" s="67"/>
      <c r="T44" s="6"/>
      <c r="U44" s="58"/>
      <c r="V44" s="58"/>
      <c r="W44" s="6"/>
      <c r="X44" s="3"/>
      <c r="Y44" s="3"/>
      <c r="Z44" s="3"/>
      <c r="AA44" s="3"/>
      <c r="AB44" s="3"/>
      <c r="AC44" s="3"/>
      <c r="AD44" s="3"/>
    </row>
    <row r="45" spans="1:31" ht="9.75" customHeight="1">
      <c r="A45" s="1"/>
      <c r="B45" s="1"/>
      <c r="C45" s="9" t="s">
        <v>63</v>
      </c>
      <c r="D45" s="1"/>
      <c r="E45" s="1" t="s">
        <v>47</v>
      </c>
      <c r="F45" s="1" t="s">
        <v>64</v>
      </c>
      <c r="G45" s="1"/>
      <c r="H45" s="1"/>
      <c r="I45" s="1"/>
      <c r="J45" s="1"/>
      <c r="K45" s="1"/>
      <c r="L45" s="1"/>
      <c r="N45" s="4" t="s">
        <v>47</v>
      </c>
      <c r="P45" s="1"/>
      <c r="Q45" s="61">
        <f>MIN(Q43,Q18)</f>
        <v>929.4228760995151</v>
      </c>
      <c r="R45" s="62"/>
      <c r="S45" s="62"/>
      <c r="T45" s="1"/>
      <c r="U45" s="1" t="str">
        <f>U43</f>
        <v>kg/cm2</v>
      </c>
      <c r="V45" s="1"/>
      <c r="W45" s="1"/>
      <c r="AE45" s="3"/>
    </row>
    <row r="46" spans="1:30" ht="9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N46" s="6"/>
      <c r="P46" s="6"/>
      <c r="Q46" s="6"/>
      <c r="R46" s="6"/>
      <c r="S46" s="6"/>
      <c r="T46" s="6"/>
      <c r="U46" s="6"/>
      <c r="V46" s="6"/>
      <c r="W46" s="6"/>
      <c r="X46" s="3"/>
      <c r="AB46" s="3"/>
      <c r="AC46" s="3"/>
      <c r="AD46" s="3"/>
    </row>
    <row r="47" spans="1:31" ht="9.75" customHeight="1">
      <c r="A47" s="1"/>
      <c r="B47" s="1"/>
      <c r="C47" s="17" t="s">
        <v>65</v>
      </c>
      <c r="D47" s="1"/>
      <c r="E47" s="1"/>
      <c r="F47" s="1"/>
      <c r="G47" s="1"/>
      <c r="H47" s="1"/>
      <c r="I47" s="1"/>
      <c r="J47" s="1"/>
      <c r="K47" s="1"/>
      <c r="L47" s="1"/>
      <c r="M47" s="1"/>
      <c r="P47" s="1"/>
      <c r="Q47" s="1"/>
      <c r="R47" s="1"/>
      <c r="S47" s="1"/>
      <c r="T47" s="1"/>
      <c r="U47" s="1"/>
      <c r="V47" s="1"/>
      <c r="W47" s="1"/>
      <c r="AE47" s="3"/>
    </row>
    <row r="48" spans="1:33" ht="12" customHeight="1">
      <c r="A48" s="6"/>
      <c r="B48" s="6"/>
      <c r="C48" s="6" t="s">
        <v>69</v>
      </c>
      <c r="D48" s="6"/>
      <c r="E48" s="6"/>
      <c r="F48" s="6"/>
      <c r="G48" s="6"/>
      <c r="H48" s="6"/>
      <c r="I48" s="6"/>
      <c r="K48" s="6"/>
      <c r="L48" s="7" t="s">
        <v>66</v>
      </c>
      <c r="M48" s="6"/>
      <c r="N48" s="4" t="s">
        <v>47</v>
      </c>
      <c r="P48" s="60">
        <f>Q24^2*(Q19-Q45)/Q38*convfacForce(U14)</f>
        <v>29978.539387565208</v>
      </c>
      <c r="Q48" s="60"/>
      <c r="R48" s="60"/>
      <c r="S48" s="60"/>
      <c r="T48" s="6"/>
      <c r="U48" s="6" t="str">
        <f>upsForce(U14)</f>
        <v>kgf</v>
      </c>
      <c r="V48" s="6"/>
      <c r="X48" s="6" t="s">
        <v>72</v>
      </c>
      <c r="Z48" s="3" t="s">
        <v>96</v>
      </c>
      <c r="AA48" s="3"/>
      <c r="AB48" s="3"/>
      <c r="AC48" s="3"/>
      <c r="AD48" s="3"/>
      <c r="AE48" s="3"/>
      <c r="AF48" s="3"/>
      <c r="AG48" s="3"/>
    </row>
    <row r="49" spans="1:32" ht="12" customHeight="1">
      <c r="A49" s="6"/>
      <c r="B49" s="6"/>
      <c r="C49" s="6" t="s">
        <v>71</v>
      </c>
      <c r="D49" s="6"/>
      <c r="E49" s="6"/>
      <c r="F49" s="6"/>
      <c r="G49" s="6"/>
      <c r="H49" s="6"/>
      <c r="I49" s="6"/>
      <c r="K49" s="6"/>
      <c r="L49" s="7" t="s">
        <v>67</v>
      </c>
      <c r="M49" s="6"/>
      <c r="N49" s="4" t="s">
        <v>47</v>
      </c>
      <c r="P49" s="60">
        <f>Q24^2*Q30*Q19/Q39*convfacForce(U14)*convfacMoment(U14)</f>
        <v>8149.187179402056</v>
      </c>
      <c r="Q49" s="60"/>
      <c r="R49" s="60"/>
      <c r="S49" s="60"/>
      <c r="T49" s="6"/>
      <c r="U49" s="6" t="str">
        <f>upsMoment(U14)</f>
        <v>kgf.m</v>
      </c>
      <c r="V49" s="6"/>
      <c r="X49" s="6" t="s">
        <v>72</v>
      </c>
      <c r="Z49" s="3" t="s">
        <v>97</v>
      </c>
      <c r="AA49" s="3"/>
      <c r="AB49" s="3"/>
      <c r="AC49" s="3"/>
      <c r="AD49" s="3"/>
      <c r="AE49" s="3"/>
      <c r="AF49" s="3"/>
    </row>
    <row r="50" spans="1:33" ht="12" customHeight="1">
      <c r="A50" s="1"/>
      <c r="B50" s="1"/>
      <c r="C50" s="6" t="s">
        <v>70</v>
      </c>
      <c r="D50" s="1"/>
      <c r="E50" s="1"/>
      <c r="F50" s="1"/>
      <c r="G50" s="1"/>
      <c r="H50" s="1"/>
      <c r="I50" s="1"/>
      <c r="K50" s="1"/>
      <c r="L50" s="9" t="s">
        <v>68</v>
      </c>
      <c r="M50" s="1"/>
      <c r="N50" s="4" t="s">
        <v>47</v>
      </c>
      <c r="P50" s="60">
        <f>Q24^2*Q30*(Q19-Q45)/Q40*convfacForce(U14)*convfacMoment(U14)</f>
        <v>15407.799225702769</v>
      </c>
      <c r="Q50" s="60"/>
      <c r="R50" s="60"/>
      <c r="S50" s="60"/>
      <c r="T50" s="1"/>
      <c r="U50" s="1" t="str">
        <f>U49</f>
        <v>kgf.m</v>
      </c>
      <c r="V50" s="1"/>
      <c r="X50" s="6" t="s">
        <v>72</v>
      </c>
      <c r="Z50" s="3" t="s">
        <v>95</v>
      </c>
      <c r="AG50" s="3"/>
    </row>
    <row r="51" spans="1:31" ht="9.75" customHeight="1">
      <c r="A51" s="6"/>
      <c r="B51" s="6"/>
      <c r="C51" s="6"/>
      <c r="D51" s="6"/>
      <c r="E51" s="6"/>
      <c r="F51" s="6"/>
      <c r="G51" s="6"/>
      <c r="H51" s="6"/>
      <c r="I51" s="6"/>
      <c r="K51" s="6"/>
      <c r="L51" s="6"/>
      <c r="M51" s="6"/>
      <c r="N51" s="6"/>
      <c r="P51" s="6"/>
      <c r="Q51" s="6"/>
      <c r="R51" s="6"/>
      <c r="S51" s="6"/>
      <c r="T51" s="6"/>
      <c r="U51" s="6"/>
      <c r="V51" s="6"/>
      <c r="W51" s="6"/>
      <c r="X51" s="3"/>
      <c r="Y51" s="3"/>
      <c r="Z51" s="3"/>
      <c r="AA51" s="3"/>
      <c r="AB51" s="3"/>
      <c r="AC51" s="3"/>
      <c r="AD51" s="3"/>
      <c r="AE51" s="3"/>
    </row>
    <row r="52" spans="1:38" ht="9.75" customHeight="1">
      <c r="A52" s="6"/>
      <c r="B52" s="6"/>
      <c r="C52" s="6" t="s">
        <v>73</v>
      </c>
      <c r="D52" s="6"/>
      <c r="E52" s="6"/>
      <c r="F52" s="6"/>
      <c r="G52" s="6"/>
      <c r="H52" s="6"/>
      <c r="I52" s="6"/>
      <c r="K52" s="6"/>
      <c r="L52" s="7" t="s">
        <v>75</v>
      </c>
      <c r="M52" s="3"/>
      <c r="N52" s="4" t="s">
        <v>47</v>
      </c>
      <c r="O52" s="6"/>
      <c r="P52" s="53">
        <f>P48</f>
        <v>29978.539387565208</v>
      </c>
      <c r="Q52" s="53"/>
      <c r="R52" s="53"/>
      <c r="S52" s="53"/>
      <c r="T52" s="6"/>
      <c r="U52" s="6" t="str">
        <f>U48</f>
        <v>kgf</v>
      </c>
      <c r="V52" s="6"/>
      <c r="W52" s="6"/>
      <c r="X52" s="6" t="s">
        <v>72</v>
      </c>
      <c r="Y52" s="3"/>
      <c r="Z52" s="6" t="s">
        <v>78</v>
      </c>
      <c r="AA52" s="3"/>
      <c r="AB52" s="3"/>
      <c r="AC52" s="3"/>
      <c r="AD52" s="3"/>
      <c r="AJ52" s="2" t="s">
        <v>80</v>
      </c>
      <c r="AK52" s="21">
        <f>P52</f>
        <v>29978.539387565208</v>
      </c>
      <c r="AL52" s="2">
        <v>0</v>
      </c>
    </row>
    <row r="53" spans="1:38" ht="9.75" customHeight="1">
      <c r="A53" s="1"/>
      <c r="B53" s="1"/>
      <c r="C53" s="6" t="s">
        <v>74</v>
      </c>
      <c r="D53" s="1"/>
      <c r="E53" s="1"/>
      <c r="F53" s="1"/>
      <c r="G53" s="1"/>
      <c r="H53" s="1"/>
      <c r="I53" s="1"/>
      <c r="K53" s="1"/>
      <c r="L53" s="7" t="s">
        <v>76</v>
      </c>
      <c r="N53" s="4" t="s">
        <v>47</v>
      </c>
      <c r="O53" s="1"/>
      <c r="P53" s="53">
        <f>MIN(P49,P50)</f>
        <v>8149.187179402056</v>
      </c>
      <c r="Q53" s="53"/>
      <c r="R53" s="53"/>
      <c r="S53" s="53"/>
      <c r="T53" s="1"/>
      <c r="U53" s="1" t="str">
        <f>U49</f>
        <v>kgf.m</v>
      </c>
      <c r="V53" s="1"/>
      <c r="W53" s="1"/>
      <c r="X53" s="6" t="s">
        <v>72</v>
      </c>
      <c r="Z53" s="1" t="s">
        <v>77</v>
      </c>
      <c r="AJ53" s="2" t="s">
        <v>79</v>
      </c>
      <c r="AK53" s="2">
        <v>0</v>
      </c>
      <c r="AL53" s="21">
        <f>P53</f>
        <v>8149.187179402056</v>
      </c>
    </row>
    <row r="54" spans="1:30" ht="9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S54" s="1"/>
      <c r="T54" s="1"/>
      <c r="U54" s="1"/>
      <c r="V54" s="1"/>
      <c r="AD54" s="3"/>
    </row>
    <row r="55" spans="1:29" ht="9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S55" s="1"/>
      <c r="T55" s="1"/>
      <c r="U55" s="1"/>
      <c r="AC55" s="3"/>
    </row>
    <row r="56" spans="1:29" ht="9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6"/>
      <c r="T56" s="6"/>
      <c r="U56" s="6"/>
      <c r="V56" s="6"/>
      <c r="W56" s="3"/>
      <c r="X56" s="3"/>
      <c r="AC56" s="3"/>
    </row>
    <row r="57" spans="1:33" ht="9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M57" s="3"/>
      <c r="O57" s="1"/>
      <c r="P57" s="1"/>
      <c r="Q57" s="1"/>
      <c r="R57" s="1"/>
      <c r="S57" s="1"/>
      <c r="T57" s="17" t="s">
        <v>83</v>
      </c>
      <c r="U57" s="1"/>
      <c r="V57" s="1"/>
      <c r="AF57" s="1"/>
      <c r="AG57" s="1"/>
    </row>
    <row r="58" spans="1:33" ht="9.75" customHeight="1">
      <c r="A58" s="1"/>
      <c r="B58" s="1"/>
      <c r="C58" s="6"/>
      <c r="D58" s="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AA58" s="3"/>
      <c r="AF58" s="1"/>
      <c r="AG58" s="1"/>
    </row>
    <row r="59" spans="1:27" ht="9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M59" s="3"/>
      <c r="O59" s="1"/>
      <c r="P59" s="1"/>
      <c r="Q59" s="1"/>
      <c r="R59" s="1"/>
      <c r="S59" s="1"/>
      <c r="T59" s="1" t="str">
        <f>B9</f>
        <v>Nozzle ID</v>
      </c>
      <c r="U59" s="1"/>
      <c r="V59" s="1"/>
      <c r="X59" s="1"/>
      <c r="Z59" s="1"/>
      <c r="AA59" s="22" t="str">
        <f>F9&amp;"  "&amp;H9</f>
        <v>N-01  Steam Inlet</v>
      </c>
    </row>
    <row r="60" spans="1:29" ht="9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X60" s="1"/>
      <c r="Z60" s="1"/>
      <c r="AC60" s="3"/>
    </row>
    <row r="61" spans="1:39" ht="9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3" t="s">
        <v>85</v>
      </c>
      <c r="U61" s="3"/>
      <c r="V61" s="3"/>
      <c r="W61" s="3"/>
      <c r="X61" s="6"/>
      <c r="Y61" s="23" t="s">
        <v>105</v>
      </c>
      <c r="Z61" s="6" t="s">
        <v>107</v>
      </c>
      <c r="AA61" s="54">
        <v>9000</v>
      </c>
      <c r="AB61" s="54"/>
      <c r="AC61" s="54"/>
      <c r="AD61" s="54"/>
      <c r="AF61" s="2" t="str">
        <f>U52</f>
        <v>kgf</v>
      </c>
      <c r="AJ61" s="2" t="s">
        <v>81</v>
      </c>
      <c r="AK61" s="2">
        <v>0</v>
      </c>
      <c r="AL61" s="3">
        <f>AA61</f>
        <v>9000</v>
      </c>
      <c r="AM61" s="3"/>
    </row>
    <row r="62" spans="1:39" ht="9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O62" s="6"/>
      <c r="P62" s="6"/>
      <c r="Q62" s="6"/>
      <c r="R62" s="6"/>
      <c r="S62" s="6"/>
      <c r="T62" s="6" t="s">
        <v>86</v>
      </c>
      <c r="U62" s="3"/>
      <c r="V62" s="3"/>
      <c r="W62" s="3"/>
      <c r="X62" s="6"/>
      <c r="Y62" s="23" t="s">
        <v>106</v>
      </c>
      <c r="Z62" s="6" t="s">
        <v>107</v>
      </c>
      <c r="AA62" s="54">
        <v>2000</v>
      </c>
      <c r="AB62" s="54"/>
      <c r="AC62" s="54"/>
      <c r="AD62" s="54"/>
      <c r="AF62" s="2" t="str">
        <f>U53</f>
        <v>kgf.m</v>
      </c>
      <c r="AJ62" s="2" t="s">
        <v>82</v>
      </c>
      <c r="AK62" s="2">
        <v>0</v>
      </c>
      <c r="AL62" s="3">
        <f>AA62</f>
        <v>2000</v>
      </c>
      <c r="AM62" s="3"/>
    </row>
    <row r="63" spans="1:33" ht="9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3"/>
      <c r="U63" s="3"/>
      <c r="V63" s="3"/>
      <c r="W63" s="3"/>
      <c r="X63" s="3"/>
      <c r="Y63" s="3"/>
      <c r="Z63" s="3"/>
      <c r="AA63" s="3"/>
      <c r="AF63" s="6"/>
      <c r="AG63" s="6"/>
    </row>
    <row r="64" spans="1:33" ht="9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71" t="s">
        <v>105</v>
      </c>
      <c r="U64" s="71"/>
      <c r="V64" s="71"/>
      <c r="W64" s="52" t="s">
        <v>108</v>
      </c>
      <c r="X64" s="71" t="s">
        <v>110</v>
      </c>
      <c r="Y64" s="71"/>
      <c r="Z64" s="71"/>
      <c r="AA64" s="51" t="s">
        <v>109</v>
      </c>
      <c r="AB64" s="70">
        <v>1</v>
      </c>
      <c r="AC64" s="70"/>
      <c r="AF64" s="1"/>
      <c r="AG64" s="1"/>
    </row>
    <row r="65" spans="1:33" ht="9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6"/>
      <c r="T65" s="72" t="s">
        <v>75</v>
      </c>
      <c r="U65" s="72"/>
      <c r="V65" s="72"/>
      <c r="W65" s="52"/>
      <c r="X65" s="72" t="s">
        <v>111</v>
      </c>
      <c r="Y65" s="72"/>
      <c r="Z65" s="72"/>
      <c r="AA65" s="52"/>
      <c r="AB65" s="70"/>
      <c r="AC65" s="70"/>
      <c r="AF65" s="6"/>
      <c r="AG65" s="6"/>
    </row>
    <row r="66" spans="1:33" ht="9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6"/>
      <c r="T66" s="3"/>
      <c r="U66" s="3"/>
      <c r="V66" s="3"/>
      <c r="AF66" s="6"/>
      <c r="AG66" s="6"/>
    </row>
    <row r="67" spans="1:34" ht="9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74">
        <f>AA61</f>
        <v>9000</v>
      </c>
      <c r="U67" s="74"/>
      <c r="V67" s="74"/>
      <c r="W67" s="52" t="s">
        <v>108</v>
      </c>
      <c r="X67" s="74">
        <f>AA62</f>
        <v>2000</v>
      </c>
      <c r="Y67" s="74"/>
      <c r="Z67" s="74"/>
      <c r="AA67" s="52" t="s">
        <v>107</v>
      </c>
      <c r="AB67" s="76">
        <f>T67/T68+X67/X68</f>
        <v>0.5456380094556986</v>
      </c>
      <c r="AC67" s="76"/>
      <c r="AD67" s="73" t="str">
        <f>IF(AB67&lt;=AB64,"OK !","Not Acceptable !")</f>
        <v>OK !</v>
      </c>
      <c r="AE67" s="73"/>
      <c r="AF67" s="73"/>
      <c r="AG67" s="73"/>
      <c r="AH67" s="73"/>
    </row>
    <row r="68" spans="1:34" ht="9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1"/>
      <c r="T68" s="75">
        <f>P52</f>
        <v>29978.539387565208</v>
      </c>
      <c r="U68" s="75"/>
      <c r="V68" s="75"/>
      <c r="W68" s="52"/>
      <c r="X68" s="75">
        <f>P53</f>
        <v>8149.187179402056</v>
      </c>
      <c r="Y68" s="75"/>
      <c r="Z68" s="75"/>
      <c r="AA68" s="52"/>
      <c r="AB68" s="76"/>
      <c r="AC68" s="76"/>
      <c r="AD68" s="73"/>
      <c r="AE68" s="73"/>
      <c r="AF68" s="73"/>
      <c r="AG68" s="73"/>
      <c r="AH68" s="73"/>
    </row>
    <row r="69" spans="1:33" ht="9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1"/>
      <c r="T69" s="6"/>
      <c r="U69" s="6"/>
      <c r="V69" s="6"/>
      <c r="W69" s="6"/>
      <c r="X69" s="6"/>
      <c r="Y69" s="6"/>
      <c r="Z69" s="6"/>
      <c r="AF69" s="6"/>
      <c r="AG69" s="1"/>
    </row>
    <row r="70" spans="1:33" ht="9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9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6"/>
    </row>
    <row r="72" spans="1:33" ht="9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AA72" s="3"/>
      <c r="AF72" s="1"/>
      <c r="AG72" s="6"/>
    </row>
    <row r="73" spans="1:30" ht="9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  <c r="Q73" s="1"/>
      <c r="R73" s="1"/>
      <c r="S73" s="1"/>
      <c r="T73" s="1"/>
      <c r="U73" s="1"/>
      <c r="V73" s="1"/>
      <c r="AD73" s="3"/>
    </row>
    <row r="74" spans="1:29" ht="9.75" customHeight="1">
      <c r="A74" s="6"/>
      <c r="B74" s="6"/>
      <c r="C74" s="6"/>
      <c r="D74" s="6"/>
      <c r="E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3"/>
      <c r="W74" s="3"/>
      <c r="X74" s="3"/>
      <c r="Y74" s="3"/>
      <c r="Z74" s="3"/>
      <c r="AA74" s="3"/>
      <c r="AB74" s="3"/>
      <c r="AC74" s="3"/>
    </row>
    <row r="75" spans="1:34" ht="9.75" customHeight="1">
      <c r="A75" s="12" t="s">
        <v>7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3" t="s">
        <v>8</v>
      </c>
    </row>
    <row r="117" ht="13.5" customHeight="1"/>
    <row r="118" ht="13.5" customHeight="1"/>
  </sheetData>
  <mergeCells count="63">
    <mergeCell ref="AD67:AH68"/>
    <mergeCell ref="T67:V67"/>
    <mergeCell ref="W67:W68"/>
    <mergeCell ref="X67:Z67"/>
    <mergeCell ref="T68:V68"/>
    <mergeCell ref="X68:Z68"/>
    <mergeCell ref="AA67:AA68"/>
    <mergeCell ref="AB67:AC68"/>
    <mergeCell ref="AB64:AC65"/>
    <mergeCell ref="T64:V64"/>
    <mergeCell ref="T65:V65"/>
    <mergeCell ref="X64:Z64"/>
    <mergeCell ref="X65:Z65"/>
    <mergeCell ref="W64:W65"/>
    <mergeCell ref="P50:S50"/>
    <mergeCell ref="P52:S52"/>
    <mergeCell ref="Q34:S34"/>
    <mergeCell ref="AA64:AA65"/>
    <mergeCell ref="Q26:S26"/>
    <mergeCell ref="AA61:AD61"/>
    <mergeCell ref="AA62:AD62"/>
    <mergeCell ref="Q29:S29"/>
    <mergeCell ref="U43:V44"/>
    <mergeCell ref="Q28:S28"/>
    <mergeCell ref="Q33:S33"/>
    <mergeCell ref="Q45:S45"/>
    <mergeCell ref="P53:S53"/>
    <mergeCell ref="P49:S49"/>
    <mergeCell ref="AC7:AG7"/>
    <mergeCell ref="A1:AH3"/>
    <mergeCell ref="AC5:AG5"/>
    <mergeCell ref="AC6:AD6"/>
    <mergeCell ref="AF6:AG6"/>
    <mergeCell ref="Q25:S25"/>
    <mergeCell ref="Q15:S15"/>
    <mergeCell ref="Q14:S14"/>
    <mergeCell ref="Q21:S21"/>
    <mergeCell ref="Q20:S20"/>
    <mergeCell ref="Q16:S16"/>
    <mergeCell ref="Q17:S17"/>
    <mergeCell ref="Q22:S22"/>
    <mergeCell ref="Q18:S18"/>
    <mergeCell ref="Q19:S19"/>
    <mergeCell ref="Q24:S24"/>
    <mergeCell ref="Q23:S23"/>
    <mergeCell ref="P48:S48"/>
    <mergeCell ref="C43:C44"/>
    <mergeCell ref="H43:H44"/>
    <mergeCell ref="F43:G43"/>
    <mergeCell ref="F44:G44"/>
    <mergeCell ref="L43:L44"/>
    <mergeCell ref="N43:N44"/>
    <mergeCell ref="Q43:S44"/>
    <mergeCell ref="Y22:Z22"/>
    <mergeCell ref="E43:E44"/>
    <mergeCell ref="J43:J44"/>
    <mergeCell ref="I43:I44"/>
    <mergeCell ref="Q38:S38"/>
    <mergeCell ref="Q39:S39"/>
    <mergeCell ref="Q40:S40"/>
    <mergeCell ref="Q35:S35"/>
    <mergeCell ref="Q30:S30"/>
    <mergeCell ref="Q27:S27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M75"/>
  <sheetViews>
    <sheetView zoomScaleSheetLayoutView="100" workbookViewId="0" topLeftCell="A1">
      <selection activeCell="X5" sqref="X5"/>
    </sheetView>
  </sheetViews>
  <sheetFormatPr defaultColWidth="8.88671875" defaultRowHeight="13.5"/>
  <cols>
    <col min="1" max="40" width="2.3359375" style="2" customWidth="1"/>
    <col min="41" max="16384" width="8.88671875" style="2" customWidth="1"/>
  </cols>
  <sheetData>
    <row r="1" spans="1:34" ht="9.75" customHeight="1">
      <c r="A1" s="69" t="s">
        <v>130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4" ht="9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9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2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"/>
      <c r="W4" s="3"/>
      <c r="X4" s="3"/>
      <c r="Y4" s="3"/>
      <c r="Z4" s="3"/>
      <c r="AA4" s="3"/>
      <c r="AB4" s="3"/>
      <c r="AC4" s="4"/>
      <c r="AD4" s="5"/>
      <c r="AE4" s="5"/>
      <c r="AF4" s="5"/>
    </row>
    <row r="5" spans="1:34" ht="9.75" customHeight="1">
      <c r="A5" s="6"/>
      <c r="B5" s="6" t="s">
        <v>131</v>
      </c>
      <c r="C5" s="6"/>
      <c r="D5" s="6"/>
      <c r="E5" s="11" t="s">
        <v>10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3"/>
      <c r="R5" s="3"/>
      <c r="S5" s="3"/>
      <c r="T5" s="5"/>
      <c r="U5" s="5"/>
      <c r="V5" s="5"/>
      <c r="Y5" s="3"/>
      <c r="Z5" s="6" t="s">
        <v>3</v>
      </c>
      <c r="AA5" s="3"/>
      <c r="AB5" s="3"/>
      <c r="AC5" s="68" t="s">
        <v>185</v>
      </c>
      <c r="AD5" s="68"/>
      <c r="AE5" s="68"/>
      <c r="AF5" s="68"/>
      <c r="AG5" s="68"/>
      <c r="AH5" s="4"/>
    </row>
    <row r="6" spans="1:34" ht="9.75" customHeight="1">
      <c r="A6" s="6"/>
      <c r="B6" s="6" t="s">
        <v>132</v>
      </c>
      <c r="C6" s="6"/>
      <c r="D6" s="6"/>
      <c r="E6" s="11" t="s">
        <v>11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5"/>
      <c r="U6" s="5"/>
      <c r="V6" s="5"/>
      <c r="Y6" s="6"/>
      <c r="Z6" s="6" t="s">
        <v>4</v>
      </c>
      <c r="AA6" s="3"/>
      <c r="AB6" s="3"/>
      <c r="AC6" s="68">
        <v>1</v>
      </c>
      <c r="AD6" s="68"/>
      <c r="AE6" s="8" t="s">
        <v>5</v>
      </c>
      <c r="AF6" s="68">
        <v>1</v>
      </c>
      <c r="AG6" s="68"/>
      <c r="AH6" s="4"/>
    </row>
    <row r="7" spans="1:34" ht="9.75" customHeight="1">
      <c r="A7" s="6"/>
      <c r="B7" s="6" t="s">
        <v>133</v>
      </c>
      <c r="C7" s="6"/>
      <c r="D7" s="6"/>
      <c r="E7" s="11" t="s">
        <v>12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Y7" s="6"/>
      <c r="Z7" s="3" t="s">
        <v>9</v>
      </c>
      <c r="AA7" s="3"/>
      <c r="AB7" s="3"/>
      <c r="AC7" s="68" t="s">
        <v>13</v>
      </c>
      <c r="AD7" s="68"/>
      <c r="AE7" s="68"/>
      <c r="AF7" s="68"/>
      <c r="AG7" s="68"/>
      <c r="AH7" s="3"/>
    </row>
    <row r="8" spans="1:33" ht="9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3"/>
      <c r="W8" s="3"/>
      <c r="X8" s="3"/>
      <c r="Y8" s="3"/>
      <c r="Z8" s="6" t="s">
        <v>6</v>
      </c>
      <c r="AA8" s="3"/>
      <c r="AB8" s="3"/>
      <c r="AC8" s="8">
        <v>0</v>
      </c>
      <c r="AD8" s="14"/>
      <c r="AE8" s="14"/>
      <c r="AF8" s="14"/>
      <c r="AG8" s="14"/>
    </row>
    <row r="9" spans="1:29" ht="9.75" customHeight="1">
      <c r="A9" s="6"/>
      <c r="B9" s="6" t="s">
        <v>134</v>
      </c>
      <c r="C9" s="6"/>
      <c r="D9" s="6"/>
      <c r="E9" s="6" t="s">
        <v>135</v>
      </c>
      <c r="F9" s="11" t="s">
        <v>136</v>
      </c>
      <c r="G9" s="6"/>
      <c r="H9" s="11" t="s">
        <v>137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3"/>
      <c r="W9" s="3"/>
      <c r="X9" s="3"/>
      <c r="Y9" s="3"/>
      <c r="Z9" s="3"/>
      <c r="AA9" s="3"/>
      <c r="AB9" s="3"/>
      <c r="AC9" s="3"/>
    </row>
    <row r="10" spans="1:29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3"/>
      <c r="W10" s="3"/>
      <c r="X10" s="3"/>
      <c r="Y10" s="3"/>
      <c r="Z10" s="3"/>
      <c r="AA10" s="3"/>
      <c r="AB10" s="3"/>
      <c r="AC10" s="3"/>
    </row>
    <row r="11" spans="1:29" ht="9.75" customHeight="1">
      <c r="A11" s="1"/>
      <c r="B11" s="1" t="s">
        <v>138</v>
      </c>
      <c r="C11" s="1"/>
      <c r="D11" s="1"/>
      <c r="E11" s="1" t="s">
        <v>135</v>
      </c>
      <c r="F11" s="9" t="s">
        <v>139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AC11" s="3"/>
    </row>
    <row r="12" spans="1:29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AC12" s="3"/>
    </row>
    <row r="13" spans="1:30" ht="9.75" customHeight="1">
      <c r="A13" s="6"/>
      <c r="B13" s="6"/>
      <c r="C13" s="15" t="s">
        <v>20</v>
      </c>
      <c r="D13" s="6"/>
      <c r="E13" s="6"/>
      <c r="F13" s="6"/>
      <c r="G13" s="6"/>
      <c r="H13" s="6"/>
      <c r="I13" s="6"/>
      <c r="J13" s="6"/>
      <c r="K13" s="6"/>
      <c r="L13" s="6"/>
      <c r="N13" s="6"/>
      <c r="O13" s="6"/>
      <c r="P13" s="6"/>
      <c r="Q13" s="6"/>
      <c r="R13" s="6"/>
      <c r="S13" s="6"/>
      <c r="T13" s="6"/>
      <c r="U13" s="6"/>
      <c r="V13" s="6"/>
      <c r="W13" s="3"/>
      <c r="X13" s="3"/>
      <c r="Y13" s="3"/>
      <c r="Z13" s="3"/>
      <c r="AA13" s="3"/>
      <c r="AB13" s="3"/>
      <c r="AC13" s="3"/>
      <c r="AD13" s="3"/>
    </row>
    <row r="14" spans="1:31" ht="9.75" customHeight="1">
      <c r="A14" s="6"/>
      <c r="B14" s="6"/>
      <c r="C14" s="7" t="s">
        <v>87</v>
      </c>
      <c r="D14" s="6"/>
      <c r="E14" s="6"/>
      <c r="F14" s="6"/>
      <c r="G14" s="6"/>
      <c r="H14" s="6"/>
      <c r="I14" s="6"/>
      <c r="J14" s="6"/>
      <c r="K14" s="3"/>
      <c r="L14" s="7" t="s">
        <v>10</v>
      </c>
      <c r="N14" s="5" t="s">
        <v>91</v>
      </c>
      <c r="P14" s="6"/>
      <c r="Q14" s="63">
        <v>10.5</v>
      </c>
      <c r="R14" s="63"/>
      <c r="S14" s="63"/>
      <c r="T14" s="6"/>
      <c r="U14" s="6" t="s">
        <v>29</v>
      </c>
      <c r="V14" s="6"/>
      <c r="W14" s="6"/>
      <c r="X14" s="6"/>
      <c r="Y14" s="6"/>
      <c r="Z14" s="3"/>
      <c r="AA14" s="3"/>
      <c r="AB14" s="3"/>
      <c r="AC14" s="3"/>
      <c r="AD14" s="3"/>
      <c r="AE14" s="3"/>
    </row>
    <row r="15" spans="1:31" ht="9.75" customHeight="1">
      <c r="A15" s="6"/>
      <c r="B15" s="6"/>
      <c r="C15" s="7" t="s">
        <v>88</v>
      </c>
      <c r="D15" s="6"/>
      <c r="E15" s="6"/>
      <c r="F15" s="6"/>
      <c r="G15" s="6"/>
      <c r="H15" s="6"/>
      <c r="I15" s="6"/>
      <c r="J15" s="6"/>
      <c r="K15" s="3"/>
      <c r="L15" s="6"/>
      <c r="N15" s="5"/>
      <c r="P15" s="6"/>
      <c r="Q15" s="63">
        <v>240</v>
      </c>
      <c r="R15" s="63"/>
      <c r="S15" s="63"/>
      <c r="T15" s="6"/>
      <c r="U15" s="6" t="s">
        <v>41</v>
      </c>
      <c r="V15" s="6"/>
      <c r="W15" s="6"/>
      <c r="X15" s="6"/>
      <c r="Y15" s="6"/>
      <c r="Z15" s="3"/>
      <c r="AA15" s="3"/>
      <c r="AB15" s="3"/>
      <c r="AC15" s="3"/>
      <c r="AD15" s="3"/>
      <c r="AE15" s="3"/>
    </row>
    <row r="16" spans="1:25" ht="9.75" customHeight="1">
      <c r="A16" s="1"/>
      <c r="B16" s="1"/>
      <c r="C16" s="9" t="s">
        <v>89</v>
      </c>
      <c r="D16" s="1"/>
      <c r="E16" s="1"/>
      <c r="F16" s="1"/>
      <c r="G16" s="1"/>
      <c r="H16" s="1"/>
      <c r="I16" s="1"/>
      <c r="J16" s="1"/>
      <c r="L16" s="1"/>
      <c r="N16" s="5"/>
      <c r="P16" s="1"/>
      <c r="Q16" s="62" t="s">
        <v>34</v>
      </c>
      <c r="R16" s="62"/>
      <c r="S16" s="62"/>
      <c r="T16" s="1"/>
      <c r="U16" s="1"/>
      <c r="V16" s="1"/>
      <c r="W16" s="1"/>
      <c r="X16" s="1"/>
      <c r="Y16" s="1"/>
    </row>
    <row r="17" spans="1:31" ht="9.75" customHeight="1">
      <c r="A17" s="6"/>
      <c r="B17" s="6"/>
      <c r="C17" s="1" t="s">
        <v>140</v>
      </c>
      <c r="D17" s="6"/>
      <c r="E17" s="6"/>
      <c r="F17" s="6"/>
      <c r="G17" s="6"/>
      <c r="H17" s="6"/>
      <c r="I17" s="6"/>
      <c r="J17" s="6"/>
      <c r="K17" s="3"/>
      <c r="L17" s="6"/>
      <c r="N17" s="5"/>
      <c r="P17" s="6"/>
      <c r="Q17" s="62" t="s">
        <v>42</v>
      </c>
      <c r="R17" s="62"/>
      <c r="S17" s="62"/>
      <c r="T17" s="6"/>
      <c r="U17" s="6"/>
      <c r="V17" s="6"/>
      <c r="W17" s="6"/>
      <c r="X17" s="6"/>
      <c r="Y17" s="6"/>
      <c r="Z17" s="3"/>
      <c r="AA17" s="3"/>
      <c r="AB17" s="3"/>
      <c r="AC17" s="3"/>
      <c r="AD17" s="3"/>
      <c r="AE17" s="3"/>
    </row>
    <row r="18" spans="1:31" ht="9.75" customHeight="1">
      <c r="A18" s="6"/>
      <c r="B18" s="6"/>
      <c r="C18" s="6" t="s">
        <v>141</v>
      </c>
      <c r="D18" s="6"/>
      <c r="E18" s="6"/>
      <c r="F18" s="6"/>
      <c r="G18" s="6"/>
      <c r="H18" s="6"/>
      <c r="I18" s="6"/>
      <c r="J18" s="6"/>
      <c r="K18" s="3"/>
      <c r="L18" s="7" t="s">
        <v>142</v>
      </c>
      <c r="N18" s="5" t="s">
        <v>91</v>
      </c>
      <c r="P18" s="6"/>
      <c r="Q18" s="61">
        <f>stress(Q16,"plate",Q17,Q15,U15,U14,3)</f>
        <v>1406.1391592783186</v>
      </c>
      <c r="R18" s="61"/>
      <c r="S18" s="61"/>
      <c r="T18" s="6"/>
      <c r="U18" s="6" t="str">
        <f>upsx(U14)</f>
        <v>kg/cm2</v>
      </c>
      <c r="V18" s="6"/>
      <c r="W18" s="6"/>
      <c r="X18" s="6"/>
      <c r="Y18" s="6"/>
      <c r="Z18" s="3"/>
      <c r="AA18" s="3"/>
      <c r="AB18" s="3"/>
      <c r="AC18" s="3"/>
      <c r="AD18" s="3"/>
      <c r="AE18" s="3"/>
    </row>
    <row r="19" spans="1:31" ht="9.75" customHeight="1">
      <c r="A19" s="1"/>
      <c r="B19" s="1"/>
      <c r="C19" s="1" t="s">
        <v>143</v>
      </c>
      <c r="D19" s="1"/>
      <c r="E19" s="1"/>
      <c r="F19" s="1"/>
      <c r="G19" s="1"/>
      <c r="H19" s="1"/>
      <c r="I19" s="1"/>
      <c r="J19" s="1"/>
      <c r="L19" s="9" t="s">
        <v>144</v>
      </c>
      <c r="N19" s="5" t="s">
        <v>91</v>
      </c>
      <c r="P19" s="1"/>
      <c r="Q19" s="61">
        <f>ystrength(Q16,"plate",Q17,Q15,U15,U14,3)</f>
        <v>2217.4814541819087</v>
      </c>
      <c r="R19" s="61"/>
      <c r="S19" s="61"/>
      <c r="T19" s="1"/>
      <c r="U19" s="1" t="str">
        <f>U18</f>
        <v>kg/cm2</v>
      </c>
      <c r="V19" s="1"/>
      <c r="W19" s="1"/>
      <c r="X19" s="1"/>
      <c r="Y19" s="1"/>
      <c r="AC19" s="3"/>
      <c r="AD19" s="3"/>
      <c r="AE19" s="3"/>
    </row>
    <row r="20" spans="1:25" ht="9.75" customHeight="1">
      <c r="A20" s="1"/>
      <c r="B20" s="1"/>
      <c r="C20" s="6" t="s">
        <v>145</v>
      </c>
      <c r="D20" s="1"/>
      <c r="E20" s="1"/>
      <c r="F20" s="1"/>
      <c r="G20" s="1"/>
      <c r="H20" s="1"/>
      <c r="I20" s="1"/>
      <c r="J20" s="1"/>
      <c r="L20" s="1"/>
      <c r="N20" s="5"/>
      <c r="P20" s="1"/>
      <c r="Q20" s="63">
        <v>1900</v>
      </c>
      <c r="R20" s="63"/>
      <c r="S20" s="63"/>
      <c r="T20" s="1"/>
      <c r="U20" s="1" t="s">
        <v>121</v>
      </c>
      <c r="V20" s="1"/>
      <c r="W20" s="1"/>
      <c r="X20" s="1"/>
      <c r="Y20" s="1"/>
    </row>
    <row r="21" spans="1:31" ht="9.75" customHeight="1">
      <c r="A21" s="6"/>
      <c r="B21" s="6"/>
      <c r="C21" s="1" t="s">
        <v>146</v>
      </c>
      <c r="D21" s="6"/>
      <c r="E21" s="6"/>
      <c r="F21" s="6"/>
      <c r="G21" s="6"/>
      <c r="H21" s="6"/>
      <c r="I21" s="6"/>
      <c r="J21" s="6"/>
      <c r="K21" s="3"/>
      <c r="L21" s="7" t="s">
        <v>147</v>
      </c>
      <c r="N21" s="5" t="s">
        <v>91</v>
      </c>
      <c r="P21" s="6"/>
      <c r="Q21" s="63">
        <v>19</v>
      </c>
      <c r="R21" s="63"/>
      <c r="S21" s="63"/>
      <c r="T21" s="6"/>
      <c r="U21" s="6" t="s">
        <v>121</v>
      </c>
      <c r="V21" s="6"/>
      <c r="W21" s="6"/>
      <c r="X21" s="6"/>
      <c r="Y21" s="6"/>
      <c r="Z21" s="3"/>
      <c r="AA21" s="3"/>
      <c r="AB21" s="3"/>
      <c r="AC21" s="3"/>
      <c r="AD21" s="3"/>
      <c r="AE21" s="3"/>
    </row>
    <row r="22" spans="1:31" ht="9.75" customHeight="1">
      <c r="A22" s="6"/>
      <c r="B22" s="6"/>
      <c r="C22" s="6" t="s">
        <v>148</v>
      </c>
      <c r="D22" s="6"/>
      <c r="E22" s="6"/>
      <c r="F22" s="6"/>
      <c r="G22" s="6"/>
      <c r="H22" s="6"/>
      <c r="I22" s="6"/>
      <c r="J22" s="6"/>
      <c r="K22" s="6"/>
      <c r="L22" s="7" t="s">
        <v>149</v>
      </c>
      <c r="M22" s="6"/>
      <c r="N22" s="5" t="s">
        <v>91</v>
      </c>
      <c r="P22" s="6"/>
      <c r="Q22" s="63">
        <v>10</v>
      </c>
      <c r="R22" s="63"/>
      <c r="S22" s="63"/>
      <c r="T22" s="6"/>
      <c r="U22" s="6" t="s">
        <v>121</v>
      </c>
      <c r="V22" s="6"/>
      <c r="W22" s="6"/>
      <c r="X22" s="3"/>
      <c r="Y22" s="57"/>
      <c r="Z22" s="57"/>
      <c r="AB22" s="3"/>
      <c r="AC22" s="3"/>
      <c r="AD22" s="3"/>
      <c r="AE22" s="3"/>
    </row>
    <row r="23" spans="1:31" ht="9.75" customHeight="1">
      <c r="A23" s="6"/>
      <c r="B23" s="6"/>
      <c r="C23" s="6" t="s">
        <v>150</v>
      </c>
      <c r="D23" s="6"/>
      <c r="E23" s="6"/>
      <c r="F23" s="6"/>
      <c r="G23" s="6"/>
      <c r="H23" s="6"/>
      <c r="I23" s="6"/>
      <c r="J23" s="6"/>
      <c r="K23" s="3"/>
      <c r="L23" s="6"/>
      <c r="N23" s="5"/>
      <c r="P23" s="6"/>
      <c r="Q23" s="63">
        <v>3</v>
      </c>
      <c r="R23" s="63"/>
      <c r="S23" s="63"/>
      <c r="T23" s="6"/>
      <c r="U23" s="6" t="s">
        <v>121</v>
      </c>
      <c r="V23" s="6"/>
      <c r="W23" s="6"/>
      <c r="X23" s="6"/>
      <c r="Y23" s="6"/>
      <c r="Z23" s="3"/>
      <c r="AA23" s="3"/>
      <c r="AB23" s="3"/>
      <c r="AC23" s="3"/>
      <c r="AD23" s="3"/>
      <c r="AE23" s="3"/>
    </row>
    <row r="24" spans="1:31" ht="9.75" customHeight="1">
      <c r="A24" s="6"/>
      <c r="B24" s="6"/>
      <c r="C24" s="6" t="s">
        <v>151</v>
      </c>
      <c r="D24" s="6"/>
      <c r="E24" s="6"/>
      <c r="F24" s="6"/>
      <c r="G24" s="6"/>
      <c r="H24" s="6"/>
      <c r="I24" s="6"/>
      <c r="J24" s="6"/>
      <c r="K24" s="3"/>
      <c r="L24" s="7" t="s">
        <v>32</v>
      </c>
      <c r="N24" s="5" t="s">
        <v>91</v>
      </c>
      <c r="P24" s="6"/>
      <c r="Q24" s="62">
        <f>(Q20+2*Q23+(Q21-Q23))/2</f>
        <v>961</v>
      </c>
      <c r="R24" s="62"/>
      <c r="S24" s="62"/>
      <c r="T24" s="6"/>
      <c r="U24" s="6" t="s">
        <v>121</v>
      </c>
      <c r="V24" s="6"/>
      <c r="W24" s="6"/>
      <c r="X24" s="6"/>
      <c r="Y24" s="6"/>
      <c r="Z24" s="3"/>
      <c r="AA24" s="3"/>
      <c r="AB24" s="3"/>
      <c r="AC24" s="3"/>
      <c r="AD24" s="3"/>
      <c r="AE24" s="3"/>
    </row>
    <row r="25" spans="1:25" ht="9.75" customHeight="1">
      <c r="A25" s="1"/>
      <c r="B25" s="1"/>
      <c r="C25" s="9" t="s">
        <v>90</v>
      </c>
      <c r="D25" s="1"/>
      <c r="E25" s="1"/>
      <c r="F25" s="1"/>
      <c r="G25" s="1"/>
      <c r="H25" s="1"/>
      <c r="I25" s="1"/>
      <c r="J25" s="1"/>
      <c r="L25" s="1"/>
      <c r="N25" s="5"/>
      <c r="P25" s="1"/>
      <c r="Q25" s="62" t="s">
        <v>34</v>
      </c>
      <c r="R25" s="62"/>
      <c r="S25" s="62"/>
      <c r="T25" s="1"/>
      <c r="U25" s="1"/>
      <c r="V25" s="1"/>
      <c r="W25" s="1"/>
      <c r="X25" s="1"/>
      <c r="Y25" s="1"/>
    </row>
    <row r="26" spans="1:31" ht="9.75" customHeight="1">
      <c r="A26" s="6"/>
      <c r="B26" s="6"/>
      <c r="C26" s="6" t="s">
        <v>152</v>
      </c>
      <c r="D26" s="6"/>
      <c r="E26" s="6"/>
      <c r="F26" s="6"/>
      <c r="G26" s="6"/>
      <c r="H26" s="6"/>
      <c r="I26" s="6"/>
      <c r="J26" s="6"/>
      <c r="K26" s="3"/>
      <c r="L26" s="6"/>
      <c r="N26" s="5"/>
      <c r="P26" s="6"/>
      <c r="Q26" s="62" t="s">
        <v>35</v>
      </c>
      <c r="R26" s="62"/>
      <c r="S26" s="62"/>
      <c r="T26" s="6"/>
      <c r="U26" s="6"/>
      <c r="V26" s="6"/>
      <c r="W26" s="6"/>
      <c r="X26" s="6"/>
      <c r="Y26" s="6"/>
      <c r="Z26" s="3"/>
      <c r="AA26" s="3"/>
      <c r="AB26" s="3"/>
      <c r="AC26" s="3"/>
      <c r="AD26" s="3"/>
      <c r="AE26" s="3"/>
    </row>
    <row r="27" spans="1:31" ht="9.75" customHeight="1">
      <c r="A27" s="6"/>
      <c r="B27" s="6"/>
      <c r="C27" s="6" t="s">
        <v>153</v>
      </c>
      <c r="D27" s="6"/>
      <c r="E27" s="6"/>
      <c r="F27" s="6"/>
      <c r="G27" s="6"/>
      <c r="H27" s="6"/>
      <c r="I27" s="6"/>
      <c r="J27" s="6"/>
      <c r="K27" s="3"/>
      <c r="L27" s="6"/>
      <c r="N27" s="5"/>
      <c r="P27" s="6"/>
      <c r="Q27" s="62" t="s">
        <v>99</v>
      </c>
      <c r="R27" s="62"/>
      <c r="S27" s="62"/>
      <c r="T27" s="6"/>
      <c r="U27" s="6"/>
      <c r="V27" s="6"/>
      <c r="W27" s="6"/>
      <c r="X27" s="6"/>
      <c r="Y27" s="6"/>
      <c r="Z27" s="3"/>
      <c r="AA27" s="3"/>
      <c r="AB27" s="3"/>
      <c r="AC27" s="3"/>
      <c r="AD27" s="3"/>
      <c r="AE27" s="3"/>
    </row>
    <row r="28" spans="1:25" ht="9.75" customHeight="1">
      <c r="A28" s="1"/>
      <c r="B28" s="1"/>
      <c r="C28" s="1" t="s">
        <v>154</v>
      </c>
      <c r="D28" s="1"/>
      <c r="E28" s="1"/>
      <c r="F28" s="1"/>
      <c r="G28" s="1"/>
      <c r="H28" s="1"/>
      <c r="I28" s="1"/>
      <c r="J28" s="1"/>
      <c r="L28" s="1"/>
      <c r="N28" s="5"/>
      <c r="P28" s="1"/>
      <c r="Q28" s="62" t="s">
        <v>36</v>
      </c>
      <c r="R28" s="62"/>
      <c r="S28" s="62"/>
      <c r="T28" s="1"/>
      <c r="U28" s="1"/>
      <c r="V28" s="1"/>
      <c r="W28" s="1"/>
      <c r="X28" s="1"/>
      <c r="Y28" s="1"/>
    </row>
    <row r="29" spans="1:31" ht="9.75" customHeight="1">
      <c r="A29" s="6"/>
      <c r="B29" s="6"/>
      <c r="C29" s="6" t="s">
        <v>155</v>
      </c>
      <c r="D29" s="6"/>
      <c r="E29" s="6"/>
      <c r="F29" s="6"/>
      <c r="G29" s="6"/>
      <c r="H29" s="6"/>
      <c r="I29" s="6"/>
      <c r="J29" s="6"/>
      <c r="K29" s="3"/>
      <c r="L29" s="1"/>
      <c r="N29" s="5"/>
      <c r="P29" s="6"/>
      <c r="Q29" s="62">
        <f>pipe(Q25,Q26,Q27,Q28,1)</f>
        <v>762</v>
      </c>
      <c r="R29" s="62"/>
      <c r="S29" s="62"/>
      <c r="T29" s="6"/>
      <c r="U29" s="6" t="s">
        <v>121</v>
      </c>
      <c r="V29" s="6"/>
      <c r="W29" s="6"/>
      <c r="X29" s="6"/>
      <c r="Y29" s="6"/>
      <c r="AC29" s="3"/>
      <c r="AD29" s="3"/>
      <c r="AE29" s="3"/>
    </row>
    <row r="30" spans="1:25" ht="9.75" customHeight="1">
      <c r="A30" s="1"/>
      <c r="B30" s="1"/>
      <c r="C30" s="6" t="s">
        <v>156</v>
      </c>
      <c r="D30" s="1"/>
      <c r="E30" s="1"/>
      <c r="F30" s="1"/>
      <c r="G30" s="1"/>
      <c r="H30" s="1"/>
      <c r="I30" s="1"/>
      <c r="J30" s="1"/>
      <c r="L30" s="9" t="s">
        <v>157</v>
      </c>
      <c r="N30" s="5" t="s">
        <v>91</v>
      </c>
      <c r="P30" s="1"/>
      <c r="Q30" s="62">
        <f>Q29/2</f>
        <v>381</v>
      </c>
      <c r="R30" s="62"/>
      <c r="S30" s="62"/>
      <c r="T30" s="1"/>
      <c r="U30" s="1" t="s">
        <v>121</v>
      </c>
      <c r="V30" s="1"/>
      <c r="W30" s="1"/>
      <c r="X30" s="1"/>
      <c r="Y30" s="1"/>
    </row>
    <row r="31" spans="1:25" ht="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L31" s="1"/>
      <c r="N31" s="5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9.75" customHeight="1">
      <c r="A32" s="1"/>
      <c r="B32" s="1"/>
      <c r="C32" s="17" t="s">
        <v>158</v>
      </c>
      <c r="D32" s="1"/>
      <c r="E32" s="1"/>
      <c r="F32" s="1"/>
      <c r="G32" s="1"/>
      <c r="H32" s="1"/>
      <c r="I32" s="1"/>
      <c r="J32" s="1"/>
      <c r="K32" s="1"/>
      <c r="N32" s="5" t="s">
        <v>91</v>
      </c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9.75" customHeight="1">
      <c r="A33" s="1"/>
      <c r="B33" s="1"/>
      <c r="C33" s="9" t="s">
        <v>122</v>
      </c>
      <c r="D33" s="1"/>
      <c r="E33" s="1" t="s">
        <v>91</v>
      </c>
      <c r="F33" s="1" t="s">
        <v>119</v>
      </c>
      <c r="G33" s="1"/>
      <c r="H33" s="1"/>
      <c r="I33" s="1"/>
      <c r="J33" s="1"/>
      <c r="L33" s="9"/>
      <c r="N33" s="5" t="s">
        <v>91</v>
      </c>
      <c r="P33" s="1"/>
      <c r="Q33" s="61">
        <f>(Q21^2+Q22^2)^0.5</f>
        <v>21.470910553583888</v>
      </c>
      <c r="R33" s="61"/>
      <c r="S33" s="61"/>
      <c r="T33" s="1"/>
      <c r="U33" s="1" t="s">
        <v>121</v>
      </c>
      <c r="V33" s="1"/>
      <c r="W33" s="1"/>
      <c r="X33" s="1"/>
      <c r="Y33" s="1"/>
    </row>
    <row r="34" spans="1:25" ht="9.75" customHeight="1">
      <c r="A34" s="1"/>
      <c r="B34" s="1"/>
      <c r="C34" s="18" t="s">
        <v>159</v>
      </c>
      <c r="D34" s="1"/>
      <c r="E34" s="1" t="s">
        <v>91</v>
      </c>
      <c r="F34" s="1" t="s">
        <v>98</v>
      </c>
      <c r="G34" s="1"/>
      <c r="H34" s="1"/>
      <c r="I34" s="1"/>
      <c r="J34" s="1"/>
      <c r="N34" s="5" t="s">
        <v>91</v>
      </c>
      <c r="P34" s="1"/>
      <c r="Q34" s="50">
        <f>0.875*Q30/Q24</f>
        <v>0.34690426638917793</v>
      </c>
      <c r="R34" s="50"/>
      <c r="S34" s="50"/>
      <c r="T34" s="1"/>
      <c r="X34" s="1"/>
      <c r="Y34" s="1"/>
    </row>
    <row r="35" spans="1:31" ht="9.75" customHeight="1">
      <c r="A35" s="6"/>
      <c r="B35" s="6"/>
      <c r="C35" s="19" t="s">
        <v>160</v>
      </c>
      <c r="D35" s="6"/>
      <c r="E35" s="6" t="s">
        <v>91</v>
      </c>
      <c r="F35" s="6" t="s">
        <v>118</v>
      </c>
      <c r="G35" s="6"/>
      <c r="H35" s="6"/>
      <c r="I35" s="6"/>
      <c r="J35" s="6"/>
      <c r="L35" s="3"/>
      <c r="N35" s="4" t="s">
        <v>91</v>
      </c>
      <c r="P35" s="6"/>
      <c r="Q35" s="61">
        <f>Q24/Q33</f>
        <v>44.75823219521501</v>
      </c>
      <c r="R35" s="61"/>
      <c r="S35" s="61"/>
      <c r="T35" s="6"/>
      <c r="U35" s="6"/>
      <c r="V35" s="6"/>
      <c r="W35" s="6"/>
      <c r="X35" s="6"/>
      <c r="Y35" s="6"/>
      <c r="Z35" s="3"/>
      <c r="AA35" s="3"/>
      <c r="AB35" s="3"/>
      <c r="AC35" s="3"/>
      <c r="AD35" s="3"/>
      <c r="AE35" s="3"/>
    </row>
    <row r="36" spans="1:31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N36" s="4"/>
      <c r="P36" s="1"/>
      <c r="Q36" s="1"/>
      <c r="R36" s="1"/>
      <c r="S36" s="1"/>
      <c r="T36" s="1"/>
      <c r="U36" s="1"/>
      <c r="V36" s="1"/>
      <c r="W36" s="1"/>
      <c r="AE36" s="3"/>
    </row>
    <row r="37" spans="1:30" ht="9.75" customHeight="1">
      <c r="A37" s="6"/>
      <c r="B37" s="6"/>
      <c r="C37" s="15" t="s">
        <v>161</v>
      </c>
      <c r="D37" s="6"/>
      <c r="E37" s="6"/>
      <c r="F37" s="6"/>
      <c r="G37" s="6"/>
      <c r="H37" s="6"/>
      <c r="I37" s="6"/>
      <c r="J37" s="6"/>
      <c r="K37" s="6"/>
      <c r="L37" s="6"/>
      <c r="N37" s="4"/>
      <c r="P37" s="6"/>
      <c r="Q37" s="6"/>
      <c r="R37" s="6"/>
      <c r="S37" s="6"/>
      <c r="T37" s="6"/>
      <c r="U37" s="6"/>
      <c r="V37" s="6"/>
      <c r="W37" s="6"/>
      <c r="X37" s="3"/>
      <c r="Y37" s="3"/>
      <c r="Z37" s="3"/>
      <c r="AA37" s="3"/>
      <c r="AB37" s="3"/>
      <c r="AC37" s="3"/>
      <c r="AD37" s="3"/>
    </row>
    <row r="38" spans="1:31" ht="9.75" customHeight="1">
      <c r="A38" s="6"/>
      <c r="B38" s="6"/>
      <c r="C38" s="19" t="s">
        <v>162</v>
      </c>
      <c r="D38" s="6"/>
      <c r="E38" s="6" t="s">
        <v>91</v>
      </c>
      <c r="F38" s="6" t="s">
        <v>92</v>
      </c>
      <c r="G38" s="6"/>
      <c r="H38" s="6"/>
      <c r="I38" s="6"/>
      <c r="J38" s="6"/>
      <c r="L38" s="6"/>
      <c r="N38" s="4" t="s">
        <v>91</v>
      </c>
      <c r="P38" s="6"/>
      <c r="Q38" s="60">
        <f>factorNZLDA(Q34,Q35,1)</f>
        <v>396.80023456467757</v>
      </c>
      <c r="R38" s="60"/>
      <c r="S38" s="60"/>
      <c r="T38" s="6"/>
      <c r="U38" s="6"/>
      <c r="V38" s="6"/>
      <c r="W38" s="6"/>
      <c r="X38" s="3"/>
      <c r="Y38" s="3"/>
      <c r="Z38" s="3"/>
      <c r="AA38" s="3"/>
      <c r="AB38" s="3"/>
      <c r="AC38" s="3"/>
      <c r="AD38" s="3"/>
      <c r="AE38" s="3"/>
    </row>
    <row r="39" spans="1:31" ht="9.75" customHeight="1">
      <c r="A39" s="6"/>
      <c r="B39" s="6"/>
      <c r="C39" s="19" t="s">
        <v>163</v>
      </c>
      <c r="D39" s="6"/>
      <c r="E39" s="6" t="s">
        <v>91</v>
      </c>
      <c r="F39" s="6" t="s">
        <v>93</v>
      </c>
      <c r="G39" s="6"/>
      <c r="H39" s="6"/>
      <c r="I39" s="6"/>
      <c r="J39" s="6"/>
      <c r="L39" s="6"/>
      <c r="N39" s="4" t="s">
        <v>91</v>
      </c>
      <c r="P39" s="6"/>
      <c r="Q39" s="60">
        <f>factorNZLDA(Q34,Q35,2)</f>
        <v>957.4529774948174</v>
      </c>
      <c r="R39" s="60"/>
      <c r="S39" s="60"/>
      <c r="T39" s="6"/>
      <c r="U39" s="6"/>
      <c r="V39" s="6"/>
      <c r="W39" s="6"/>
      <c r="X39" s="3"/>
      <c r="Y39" s="3"/>
      <c r="Z39" s="3"/>
      <c r="AA39" s="3"/>
      <c r="AB39" s="3"/>
      <c r="AC39" s="3"/>
      <c r="AD39" s="3"/>
      <c r="AE39" s="3"/>
    </row>
    <row r="40" spans="1:31" ht="9.75" customHeight="1">
      <c r="A40" s="1"/>
      <c r="B40" s="1"/>
      <c r="C40" s="18" t="s">
        <v>164</v>
      </c>
      <c r="D40" s="1"/>
      <c r="E40" s="1" t="s">
        <v>91</v>
      </c>
      <c r="F40" s="6" t="s">
        <v>94</v>
      </c>
      <c r="G40" s="1"/>
      <c r="H40" s="1"/>
      <c r="I40" s="1"/>
      <c r="J40" s="1"/>
      <c r="L40" s="1"/>
      <c r="N40" s="4" t="s">
        <v>91</v>
      </c>
      <c r="P40" s="1"/>
      <c r="Q40" s="60">
        <f>factorNZLDA(Q34,Q35,3)</f>
        <v>294.1485789248561</v>
      </c>
      <c r="R40" s="60"/>
      <c r="S40" s="60"/>
      <c r="T40" s="1"/>
      <c r="U40" s="1"/>
      <c r="V40" s="1"/>
      <c r="W40" s="1"/>
      <c r="AE40" s="3"/>
    </row>
    <row r="41" spans="1:31" ht="9.75" customHeight="1">
      <c r="A41" s="1"/>
      <c r="B41" s="1"/>
      <c r="C41" s="17" t="s">
        <v>165</v>
      </c>
      <c r="D41" s="1"/>
      <c r="E41" s="1"/>
      <c r="F41" s="1"/>
      <c r="G41" s="1"/>
      <c r="H41" s="1"/>
      <c r="I41" s="1"/>
      <c r="J41" s="1"/>
      <c r="K41" s="1"/>
      <c r="L41" s="1"/>
      <c r="N41" s="4"/>
      <c r="P41" s="1"/>
      <c r="Q41" s="1"/>
      <c r="R41" s="1"/>
      <c r="S41" s="1"/>
      <c r="T41" s="1"/>
      <c r="U41" s="1"/>
      <c r="V41" s="1"/>
      <c r="W41" s="1"/>
      <c r="AE41" s="3"/>
    </row>
    <row r="42" spans="1:31" ht="9.75" customHeight="1">
      <c r="A42" s="6"/>
      <c r="B42" s="6"/>
      <c r="C42" s="6" t="s">
        <v>166</v>
      </c>
      <c r="D42" s="6"/>
      <c r="E42" s="6"/>
      <c r="F42" s="6"/>
      <c r="G42" s="6"/>
      <c r="H42" s="6"/>
      <c r="I42" s="6"/>
      <c r="J42" s="6"/>
      <c r="K42" s="6"/>
      <c r="L42" s="6"/>
      <c r="N42" s="4"/>
      <c r="P42" s="6"/>
      <c r="Q42" s="6"/>
      <c r="R42" s="6"/>
      <c r="S42" s="6"/>
      <c r="T42" s="6"/>
      <c r="U42" s="6"/>
      <c r="V42" s="6"/>
      <c r="W42" s="6"/>
      <c r="X42" s="3"/>
      <c r="Y42" s="3"/>
      <c r="Z42" s="3"/>
      <c r="AA42" s="3"/>
      <c r="AB42" s="3"/>
      <c r="AC42" s="3"/>
      <c r="AD42" s="3"/>
      <c r="AE42" s="3"/>
    </row>
    <row r="43" spans="1:31" ht="9.75" customHeight="1">
      <c r="A43" s="1"/>
      <c r="B43" s="1"/>
      <c r="C43" s="64" t="s">
        <v>167</v>
      </c>
      <c r="D43" s="1"/>
      <c r="E43" s="58" t="s">
        <v>91</v>
      </c>
      <c r="F43" s="65" t="s">
        <v>168</v>
      </c>
      <c r="G43" s="65"/>
      <c r="H43" s="59" t="s">
        <v>169</v>
      </c>
      <c r="I43" s="59" t="s">
        <v>32</v>
      </c>
      <c r="J43" s="59" t="s">
        <v>170</v>
      </c>
      <c r="K43" s="16" t="s">
        <v>122</v>
      </c>
      <c r="L43" s="59" t="s">
        <v>171</v>
      </c>
      <c r="N43" s="58" t="s">
        <v>91</v>
      </c>
      <c r="P43" s="1"/>
      <c r="Q43" s="67">
        <f>2*Q14/Q33*(Q24-Q33/2)</f>
        <v>929.4228760995151</v>
      </c>
      <c r="R43" s="67"/>
      <c r="S43" s="67"/>
      <c r="T43" s="1"/>
      <c r="U43" s="58" t="str">
        <f>upsx(U14)</f>
        <v>kg/cm2</v>
      </c>
      <c r="V43" s="58"/>
      <c r="W43" s="1"/>
      <c r="AE43" s="3"/>
    </row>
    <row r="44" spans="1:30" ht="9.75" customHeight="1">
      <c r="A44" s="6"/>
      <c r="B44" s="6"/>
      <c r="C44" s="64"/>
      <c r="D44" s="6"/>
      <c r="E44" s="58"/>
      <c r="F44" s="66" t="s">
        <v>122</v>
      </c>
      <c r="G44" s="66"/>
      <c r="H44" s="59"/>
      <c r="I44" s="59"/>
      <c r="J44" s="59"/>
      <c r="K44" s="20">
        <v>2</v>
      </c>
      <c r="L44" s="59"/>
      <c r="N44" s="58"/>
      <c r="P44" s="6"/>
      <c r="Q44" s="67"/>
      <c r="R44" s="67"/>
      <c r="S44" s="67"/>
      <c r="T44" s="6"/>
      <c r="U44" s="58"/>
      <c r="V44" s="58"/>
      <c r="W44" s="6"/>
      <c r="X44" s="3"/>
      <c r="Y44" s="3"/>
      <c r="Z44" s="3"/>
      <c r="AA44" s="3"/>
      <c r="AB44" s="3"/>
      <c r="AC44" s="3"/>
      <c r="AD44" s="3"/>
    </row>
    <row r="45" spans="1:31" ht="9.75" customHeight="1">
      <c r="A45" s="1"/>
      <c r="B45" s="1"/>
      <c r="C45" s="9" t="s">
        <v>12</v>
      </c>
      <c r="D45" s="1"/>
      <c r="E45" s="1" t="s">
        <v>91</v>
      </c>
      <c r="F45" s="1" t="s">
        <v>64</v>
      </c>
      <c r="G45" s="1"/>
      <c r="H45" s="1"/>
      <c r="I45" s="1"/>
      <c r="J45" s="1"/>
      <c r="K45" s="1"/>
      <c r="L45" s="1"/>
      <c r="N45" s="4" t="s">
        <v>91</v>
      </c>
      <c r="P45" s="1"/>
      <c r="Q45" s="61">
        <f>MIN(Q43,Q18)</f>
        <v>929.4228760995151</v>
      </c>
      <c r="R45" s="62"/>
      <c r="S45" s="62"/>
      <c r="T45" s="1"/>
      <c r="U45" s="1" t="str">
        <f>U43</f>
        <v>kg/cm2</v>
      </c>
      <c r="V45" s="1"/>
      <c r="W45" s="1"/>
      <c r="AE45" s="3"/>
    </row>
    <row r="46" spans="1:30" ht="9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N46" s="6"/>
      <c r="P46" s="6"/>
      <c r="Q46" s="6"/>
      <c r="R46" s="6"/>
      <c r="S46" s="6"/>
      <c r="T46" s="6"/>
      <c r="U46" s="6"/>
      <c r="V46" s="6"/>
      <c r="W46" s="6"/>
      <c r="X46" s="3"/>
      <c r="AB46" s="3"/>
      <c r="AC46" s="3"/>
      <c r="AD46" s="3"/>
    </row>
    <row r="47" spans="1:31" ht="9.75" customHeight="1">
      <c r="A47" s="1"/>
      <c r="B47" s="1"/>
      <c r="C47" s="17" t="s">
        <v>172</v>
      </c>
      <c r="D47" s="1"/>
      <c r="E47" s="1"/>
      <c r="F47" s="1"/>
      <c r="G47" s="1"/>
      <c r="H47" s="1"/>
      <c r="I47" s="1"/>
      <c r="J47" s="1"/>
      <c r="K47" s="1"/>
      <c r="L47" s="1"/>
      <c r="M47" s="1"/>
      <c r="P47" s="1"/>
      <c r="Q47" s="1"/>
      <c r="R47" s="1"/>
      <c r="S47" s="1"/>
      <c r="T47" s="1"/>
      <c r="U47" s="1"/>
      <c r="V47" s="1"/>
      <c r="W47" s="1"/>
      <c r="AE47" s="3"/>
    </row>
    <row r="48" spans="1:33" ht="12" customHeight="1">
      <c r="A48" s="6"/>
      <c r="B48" s="6"/>
      <c r="C48" s="6" t="s">
        <v>173</v>
      </c>
      <c r="D48" s="6"/>
      <c r="E48" s="6"/>
      <c r="F48" s="6"/>
      <c r="G48" s="6"/>
      <c r="H48" s="6"/>
      <c r="I48" s="6"/>
      <c r="K48" s="6"/>
      <c r="L48" s="7" t="s">
        <v>174</v>
      </c>
      <c r="M48" s="6"/>
      <c r="N48" s="4" t="s">
        <v>91</v>
      </c>
      <c r="P48" s="60">
        <f>Q24^2*(Q19-Q45)/Q38*convfacForce(U14)</f>
        <v>29978.539387565208</v>
      </c>
      <c r="Q48" s="60"/>
      <c r="R48" s="60"/>
      <c r="S48" s="60"/>
      <c r="T48" s="6"/>
      <c r="U48" s="6" t="str">
        <f>upsForce(U14)</f>
        <v>kgf</v>
      </c>
      <c r="V48" s="6"/>
      <c r="X48" s="6" t="s">
        <v>175</v>
      </c>
      <c r="Z48" s="3" t="s">
        <v>96</v>
      </c>
      <c r="AA48" s="3"/>
      <c r="AB48" s="3"/>
      <c r="AC48" s="3"/>
      <c r="AD48" s="3"/>
      <c r="AE48" s="3"/>
      <c r="AF48" s="3"/>
      <c r="AG48" s="3"/>
    </row>
    <row r="49" spans="1:32" ht="12" customHeight="1">
      <c r="A49" s="6"/>
      <c r="B49" s="6"/>
      <c r="C49" s="6" t="s">
        <v>71</v>
      </c>
      <c r="D49" s="6"/>
      <c r="E49" s="6"/>
      <c r="F49" s="6"/>
      <c r="G49" s="6"/>
      <c r="H49" s="6"/>
      <c r="I49" s="6"/>
      <c r="K49" s="6"/>
      <c r="L49" s="7" t="s">
        <v>176</v>
      </c>
      <c r="M49" s="6"/>
      <c r="N49" s="4" t="s">
        <v>91</v>
      </c>
      <c r="P49" s="60">
        <f>Q24^2*Q30*Q19/Q39*convfacForce(U14)*convfacMoment(U14)</f>
        <v>8149.187179402056</v>
      </c>
      <c r="Q49" s="60"/>
      <c r="R49" s="60"/>
      <c r="S49" s="60"/>
      <c r="T49" s="6"/>
      <c r="U49" s="6" t="str">
        <f>upsMoment(U14)</f>
        <v>kgf.m</v>
      </c>
      <c r="V49" s="6"/>
      <c r="X49" s="6" t="s">
        <v>175</v>
      </c>
      <c r="Z49" s="3" t="s">
        <v>97</v>
      </c>
      <c r="AA49" s="3"/>
      <c r="AB49" s="3"/>
      <c r="AC49" s="3"/>
      <c r="AD49" s="3"/>
      <c r="AE49" s="3"/>
      <c r="AF49" s="3"/>
    </row>
    <row r="50" spans="1:33" ht="12" customHeight="1">
      <c r="A50" s="1"/>
      <c r="B50" s="1"/>
      <c r="C50" s="6" t="s">
        <v>70</v>
      </c>
      <c r="D50" s="1"/>
      <c r="E50" s="1"/>
      <c r="F50" s="1"/>
      <c r="G50" s="1"/>
      <c r="H50" s="1"/>
      <c r="I50" s="1"/>
      <c r="K50" s="1"/>
      <c r="L50" s="9" t="s">
        <v>177</v>
      </c>
      <c r="M50" s="1"/>
      <c r="N50" s="4" t="s">
        <v>91</v>
      </c>
      <c r="P50" s="60">
        <f>Q24^2*Q30*(Q19-Q45)/Q40*convfacForce(U14)*convfacMoment(U14)</f>
        <v>15407.799225702769</v>
      </c>
      <c r="Q50" s="60"/>
      <c r="R50" s="60"/>
      <c r="S50" s="60"/>
      <c r="T50" s="1"/>
      <c r="U50" s="1" t="str">
        <f>U49</f>
        <v>kgf.m</v>
      </c>
      <c r="V50" s="1"/>
      <c r="X50" s="6" t="s">
        <v>175</v>
      </c>
      <c r="Z50" s="3" t="s">
        <v>95</v>
      </c>
      <c r="AG50" s="3"/>
    </row>
    <row r="51" spans="1:31" ht="9.75" customHeight="1">
      <c r="A51" s="6"/>
      <c r="B51" s="6"/>
      <c r="C51" s="6"/>
      <c r="D51" s="6"/>
      <c r="E51" s="6"/>
      <c r="F51" s="6"/>
      <c r="G51" s="6"/>
      <c r="H51" s="6"/>
      <c r="I51" s="6"/>
      <c r="K51" s="6"/>
      <c r="L51" s="6"/>
      <c r="M51" s="6"/>
      <c r="N51" s="6"/>
      <c r="P51" s="6"/>
      <c r="Q51" s="6"/>
      <c r="R51" s="6"/>
      <c r="S51" s="6"/>
      <c r="T51" s="6"/>
      <c r="U51" s="6"/>
      <c r="V51" s="6"/>
      <c r="W51" s="6"/>
      <c r="X51" s="3"/>
      <c r="Y51" s="3"/>
      <c r="Z51" s="3"/>
      <c r="AA51" s="3"/>
      <c r="AB51" s="3"/>
      <c r="AC51" s="3"/>
      <c r="AD51" s="3"/>
      <c r="AE51" s="3"/>
    </row>
    <row r="52" spans="1:38" ht="9.75" customHeight="1">
      <c r="A52" s="6"/>
      <c r="B52" s="6"/>
      <c r="C52" s="6" t="s">
        <v>73</v>
      </c>
      <c r="D52" s="6"/>
      <c r="E52" s="6"/>
      <c r="F52" s="6"/>
      <c r="G52" s="6"/>
      <c r="H52" s="6"/>
      <c r="I52" s="6"/>
      <c r="K52" s="6"/>
      <c r="L52" s="7" t="s">
        <v>75</v>
      </c>
      <c r="M52" s="3"/>
      <c r="N52" s="4" t="s">
        <v>91</v>
      </c>
      <c r="O52" s="6"/>
      <c r="P52" s="53">
        <f>P48</f>
        <v>29978.539387565208</v>
      </c>
      <c r="Q52" s="53"/>
      <c r="R52" s="53"/>
      <c r="S52" s="53"/>
      <c r="T52" s="6"/>
      <c r="U52" s="6" t="str">
        <f>U48</f>
        <v>kgf</v>
      </c>
      <c r="V52" s="6"/>
      <c r="W52" s="6"/>
      <c r="X52" s="6" t="s">
        <v>175</v>
      </c>
      <c r="Y52" s="3"/>
      <c r="Z52" s="6" t="s">
        <v>178</v>
      </c>
      <c r="AA52" s="3"/>
      <c r="AB52" s="3"/>
      <c r="AC52" s="3"/>
      <c r="AD52" s="3"/>
      <c r="AJ52" s="2" t="s">
        <v>179</v>
      </c>
      <c r="AK52" s="21">
        <f>P52</f>
        <v>29978.539387565208</v>
      </c>
      <c r="AL52" s="2">
        <v>0</v>
      </c>
    </row>
    <row r="53" spans="1:38" ht="9.75" customHeight="1">
      <c r="A53" s="1"/>
      <c r="B53" s="1"/>
      <c r="C53" s="6" t="s">
        <v>74</v>
      </c>
      <c r="D53" s="1"/>
      <c r="E53" s="1"/>
      <c r="F53" s="1"/>
      <c r="G53" s="1"/>
      <c r="H53" s="1"/>
      <c r="I53" s="1"/>
      <c r="K53" s="1"/>
      <c r="L53" s="7" t="s">
        <v>76</v>
      </c>
      <c r="N53" s="4" t="s">
        <v>91</v>
      </c>
      <c r="O53" s="1"/>
      <c r="P53" s="53">
        <f>(P49^2+P50^2)^0.5</f>
        <v>17430.132778166026</v>
      </c>
      <c r="Q53" s="53"/>
      <c r="R53" s="53"/>
      <c r="S53" s="53"/>
      <c r="T53" s="1"/>
      <c r="U53" s="1" t="str">
        <f>U49</f>
        <v>kgf.m</v>
      </c>
      <c r="V53" s="1"/>
      <c r="W53" s="1"/>
      <c r="X53" s="6" t="s">
        <v>175</v>
      </c>
      <c r="Z53" s="26" t="s">
        <v>184</v>
      </c>
      <c r="AJ53" s="2" t="s">
        <v>180</v>
      </c>
      <c r="AK53" s="2">
        <v>0</v>
      </c>
      <c r="AL53" s="21">
        <f>P53</f>
        <v>17430.132778166026</v>
      </c>
    </row>
    <row r="54" spans="1:30" ht="9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S54" s="1"/>
      <c r="T54" s="1"/>
      <c r="U54" s="1"/>
      <c r="V54" s="1"/>
      <c r="AD54" s="3"/>
    </row>
    <row r="55" spans="1:29" ht="9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S55" s="1"/>
      <c r="T55" s="1"/>
      <c r="U55" s="1"/>
      <c r="AC55" s="3"/>
    </row>
    <row r="56" spans="1:29" ht="9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6"/>
      <c r="T56" s="6"/>
      <c r="U56" s="6"/>
      <c r="V56" s="6"/>
      <c r="W56" s="3"/>
      <c r="X56" s="3"/>
      <c r="AC56" s="3"/>
    </row>
    <row r="57" spans="1:33" ht="9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M57" s="3"/>
      <c r="O57" s="1"/>
      <c r="P57" s="1"/>
      <c r="Q57" s="1"/>
      <c r="R57" s="1"/>
      <c r="S57" s="1"/>
      <c r="T57" s="17" t="s">
        <v>83</v>
      </c>
      <c r="U57" s="1"/>
      <c r="V57" s="1"/>
      <c r="AF57" s="1"/>
      <c r="AG57" s="1"/>
    </row>
    <row r="58" spans="1:33" ht="9.75" customHeight="1">
      <c r="A58" s="1"/>
      <c r="B58" s="1"/>
      <c r="C58" s="6"/>
      <c r="D58" s="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AA58" s="3"/>
      <c r="AF58" s="1"/>
      <c r="AG58" s="1"/>
    </row>
    <row r="59" spans="1:27" ht="9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M59" s="3"/>
      <c r="O59" s="1"/>
      <c r="P59" s="1"/>
      <c r="Q59" s="1"/>
      <c r="R59" s="1"/>
      <c r="S59" s="1"/>
      <c r="T59" s="1" t="str">
        <f>B9</f>
        <v>Nozzle ID</v>
      </c>
      <c r="U59" s="1"/>
      <c r="V59" s="1"/>
      <c r="X59" s="1"/>
      <c r="Z59" s="1"/>
      <c r="AA59" s="22" t="str">
        <f>F9&amp;"  "&amp;H9</f>
        <v>N-01  Steam Inlet</v>
      </c>
    </row>
    <row r="60" spans="1:29" ht="9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X60" s="1"/>
      <c r="Z60" s="1"/>
      <c r="AC60" s="3"/>
    </row>
    <row r="61" spans="1:39" ht="9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3" t="s">
        <v>85</v>
      </c>
      <c r="U61" s="3"/>
      <c r="V61" s="3"/>
      <c r="W61" s="3"/>
      <c r="X61" s="6"/>
      <c r="Y61" s="23" t="s">
        <v>105</v>
      </c>
      <c r="Z61" s="6" t="s">
        <v>91</v>
      </c>
      <c r="AA61" s="54">
        <v>9000</v>
      </c>
      <c r="AB61" s="54"/>
      <c r="AC61" s="54"/>
      <c r="AD61" s="54"/>
      <c r="AF61" s="2" t="str">
        <f>U52</f>
        <v>kgf</v>
      </c>
      <c r="AJ61" s="2" t="s">
        <v>179</v>
      </c>
      <c r="AK61" s="2">
        <v>0</v>
      </c>
      <c r="AL61" s="3">
        <f>AA61</f>
        <v>9000</v>
      </c>
      <c r="AM61" s="3"/>
    </row>
    <row r="62" spans="1:39" ht="9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O62" s="6"/>
      <c r="P62" s="6"/>
      <c r="Q62" s="6"/>
      <c r="R62" s="6"/>
      <c r="S62" s="6"/>
      <c r="T62" s="6" t="s">
        <v>181</v>
      </c>
      <c r="U62" s="3"/>
      <c r="V62" s="3"/>
      <c r="W62" s="3"/>
      <c r="X62" s="6"/>
      <c r="Y62" s="23" t="s">
        <v>106</v>
      </c>
      <c r="Z62" s="6" t="s">
        <v>91</v>
      </c>
      <c r="AA62" s="54">
        <v>2000</v>
      </c>
      <c r="AB62" s="54"/>
      <c r="AC62" s="54"/>
      <c r="AD62" s="54"/>
      <c r="AF62" s="2" t="str">
        <f>U53</f>
        <v>kgf.m</v>
      </c>
      <c r="AJ62" s="2" t="s">
        <v>180</v>
      </c>
      <c r="AK62" s="2">
        <v>0</v>
      </c>
      <c r="AL62" s="3">
        <f>AA62</f>
        <v>2000</v>
      </c>
      <c r="AM62" s="3"/>
    </row>
    <row r="63" spans="1:33" ht="9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3"/>
      <c r="U63" s="3"/>
      <c r="V63" s="3"/>
      <c r="W63" s="3"/>
      <c r="X63" s="3"/>
      <c r="Y63" s="3"/>
      <c r="Z63" s="3"/>
      <c r="AA63" s="3"/>
      <c r="AF63" s="6"/>
      <c r="AG63" s="6"/>
    </row>
    <row r="64" spans="1:33" ht="9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71" t="s">
        <v>105</v>
      </c>
      <c r="U64" s="71"/>
      <c r="V64" s="71"/>
      <c r="W64" s="52" t="s">
        <v>182</v>
      </c>
      <c r="X64" s="71" t="s">
        <v>106</v>
      </c>
      <c r="Y64" s="71"/>
      <c r="Z64" s="71"/>
      <c r="AA64" s="51" t="s">
        <v>183</v>
      </c>
      <c r="AB64" s="70">
        <v>1</v>
      </c>
      <c r="AC64" s="70"/>
      <c r="AF64" s="1"/>
      <c r="AG64" s="1"/>
    </row>
    <row r="65" spans="1:33" ht="9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6"/>
      <c r="T65" s="72" t="s">
        <v>75</v>
      </c>
      <c r="U65" s="72"/>
      <c r="V65" s="72"/>
      <c r="W65" s="52"/>
      <c r="X65" s="72" t="s">
        <v>76</v>
      </c>
      <c r="Y65" s="72"/>
      <c r="Z65" s="72"/>
      <c r="AA65" s="52"/>
      <c r="AB65" s="70"/>
      <c r="AC65" s="70"/>
      <c r="AF65" s="6"/>
      <c r="AG65" s="6"/>
    </row>
    <row r="66" spans="1:33" ht="9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6"/>
      <c r="T66" s="3"/>
      <c r="U66" s="3"/>
      <c r="V66" s="3"/>
      <c r="AF66" s="6"/>
      <c r="AG66" s="6"/>
    </row>
    <row r="67" spans="1:34" ht="9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74">
        <f>AA61</f>
        <v>9000</v>
      </c>
      <c r="U67" s="74"/>
      <c r="V67" s="74"/>
      <c r="W67" s="52" t="s">
        <v>182</v>
      </c>
      <c r="X67" s="74">
        <f>AA62</f>
        <v>2000</v>
      </c>
      <c r="Y67" s="74"/>
      <c r="Z67" s="74"/>
      <c r="AA67" s="52" t="s">
        <v>91</v>
      </c>
      <c r="AB67" s="76">
        <f>T67/T68+X67/X68</f>
        <v>0.41495857871660363</v>
      </c>
      <c r="AC67" s="76"/>
      <c r="AD67" s="73" t="str">
        <f>IF(AB67&lt;=AB64,"OK !","Not Acceptable !")</f>
        <v>OK !</v>
      </c>
      <c r="AE67" s="73"/>
      <c r="AF67" s="73"/>
      <c r="AG67" s="73"/>
      <c r="AH67" s="73"/>
    </row>
    <row r="68" spans="1:34" ht="9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1"/>
      <c r="T68" s="75">
        <f>P52</f>
        <v>29978.539387565208</v>
      </c>
      <c r="U68" s="75"/>
      <c r="V68" s="75"/>
      <c r="W68" s="52"/>
      <c r="X68" s="75">
        <f>P53</f>
        <v>17430.132778166026</v>
      </c>
      <c r="Y68" s="75"/>
      <c r="Z68" s="75"/>
      <c r="AA68" s="52"/>
      <c r="AB68" s="76"/>
      <c r="AC68" s="76"/>
      <c r="AD68" s="73"/>
      <c r="AE68" s="73"/>
      <c r="AF68" s="73"/>
      <c r="AG68" s="73"/>
      <c r="AH68" s="73"/>
    </row>
    <row r="69" spans="1:33" ht="9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1"/>
      <c r="T69" s="6"/>
      <c r="U69" s="6"/>
      <c r="V69" s="6"/>
      <c r="W69" s="6"/>
      <c r="X69" s="6"/>
      <c r="Y69" s="6"/>
      <c r="Z69" s="6"/>
      <c r="AF69" s="6"/>
      <c r="AG69" s="1"/>
    </row>
    <row r="70" spans="1:33" ht="9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9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6"/>
    </row>
    <row r="72" spans="1:33" ht="9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AA72" s="3"/>
      <c r="AF72" s="1"/>
      <c r="AG72" s="6"/>
    </row>
    <row r="73" spans="1:30" ht="9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O73" s="1"/>
      <c r="P73" s="1"/>
      <c r="Q73" s="1"/>
      <c r="R73" s="1"/>
      <c r="S73" s="1"/>
      <c r="T73" s="1"/>
      <c r="U73" s="1"/>
      <c r="V73" s="1"/>
      <c r="AD73" s="3"/>
    </row>
    <row r="74" spans="1:29" ht="9.75" customHeight="1">
      <c r="A74" s="6"/>
      <c r="B74" s="6"/>
      <c r="C74" s="6"/>
      <c r="D74" s="6"/>
      <c r="E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3"/>
      <c r="W74" s="3"/>
      <c r="X74" s="3"/>
      <c r="Y74" s="3"/>
      <c r="Z74" s="3"/>
      <c r="AA74" s="3"/>
      <c r="AB74" s="3"/>
      <c r="AC74" s="3"/>
    </row>
    <row r="75" spans="1:34" ht="9.75" customHeight="1">
      <c r="A75" s="12" t="s">
        <v>7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3" t="s">
        <v>8</v>
      </c>
    </row>
    <row r="117" ht="13.5" customHeight="1"/>
    <row r="118" ht="13.5" customHeight="1"/>
  </sheetData>
  <mergeCells count="63">
    <mergeCell ref="Y22:Z22"/>
    <mergeCell ref="E43:E44"/>
    <mergeCell ref="J43:J44"/>
    <mergeCell ref="I43:I44"/>
    <mergeCell ref="Q38:S38"/>
    <mergeCell ref="Q39:S39"/>
    <mergeCell ref="Q40:S40"/>
    <mergeCell ref="Q35:S35"/>
    <mergeCell ref="Q30:S30"/>
    <mergeCell ref="Q27:S27"/>
    <mergeCell ref="Q24:S24"/>
    <mergeCell ref="Q23:S23"/>
    <mergeCell ref="P48:S48"/>
    <mergeCell ref="C43:C44"/>
    <mergeCell ref="H43:H44"/>
    <mergeCell ref="F43:G43"/>
    <mergeCell ref="F44:G44"/>
    <mergeCell ref="L43:L44"/>
    <mergeCell ref="N43:N44"/>
    <mergeCell ref="Q43:S44"/>
    <mergeCell ref="Q25:S25"/>
    <mergeCell ref="Q15:S15"/>
    <mergeCell ref="Q14:S14"/>
    <mergeCell ref="Q21:S21"/>
    <mergeCell ref="Q20:S20"/>
    <mergeCell ref="Q16:S16"/>
    <mergeCell ref="Q17:S17"/>
    <mergeCell ref="Q22:S22"/>
    <mergeCell ref="Q18:S18"/>
    <mergeCell ref="Q19:S19"/>
    <mergeCell ref="AC7:AG7"/>
    <mergeCell ref="A1:AH3"/>
    <mergeCell ref="AC5:AG5"/>
    <mergeCell ref="AC6:AD6"/>
    <mergeCell ref="AF6:AG6"/>
    <mergeCell ref="Q26:S26"/>
    <mergeCell ref="AA61:AD61"/>
    <mergeCell ref="AA62:AD62"/>
    <mergeCell ref="Q29:S29"/>
    <mergeCell ref="U43:V44"/>
    <mergeCell ref="Q28:S28"/>
    <mergeCell ref="Q33:S33"/>
    <mergeCell ref="Q45:S45"/>
    <mergeCell ref="P53:S53"/>
    <mergeCell ref="P49:S49"/>
    <mergeCell ref="P50:S50"/>
    <mergeCell ref="P52:S52"/>
    <mergeCell ref="Q34:S34"/>
    <mergeCell ref="AA64:AA65"/>
    <mergeCell ref="AB64:AC65"/>
    <mergeCell ref="T64:V64"/>
    <mergeCell ref="T65:V65"/>
    <mergeCell ref="X64:Z64"/>
    <mergeCell ref="X65:Z65"/>
    <mergeCell ref="W64:W65"/>
    <mergeCell ref="AD67:AH68"/>
    <mergeCell ref="T67:V67"/>
    <mergeCell ref="W67:W68"/>
    <mergeCell ref="X67:Z67"/>
    <mergeCell ref="T68:V68"/>
    <mergeCell ref="X68:Z68"/>
    <mergeCell ref="AA67:AA68"/>
    <mergeCell ref="AB67:AC68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AJ75"/>
  <sheetViews>
    <sheetView zoomScaleSheetLayoutView="100" workbookViewId="0" topLeftCell="A1">
      <selection activeCell="X5" sqref="X5"/>
    </sheetView>
  </sheetViews>
  <sheetFormatPr defaultColWidth="8.88671875" defaultRowHeight="13.5"/>
  <cols>
    <col min="1" max="52" width="2.3359375" style="3" customWidth="1"/>
    <col min="53" max="16384" width="8.88671875" style="3" customWidth="1"/>
  </cols>
  <sheetData>
    <row r="1" spans="1:34" ht="9.75" customHeight="1">
      <c r="A1" s="69" t="s">
        <v>14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4" ht="9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9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ht="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H4" s="6"/>
    </row>
    <row r="5" spans="1:33" ht="9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Z5" s="6" t="s">
        <v>123</v>
      </c>
      <c r="AC5" s="68" t="s">
        <v>186</v>
      </c>
      <c r="AD5" s="68"/>
      <c r="AE5" s="68"/>
      <c r="AF5" s="68"/>
      <c r="AG5" s="68"/>
    </row>
    <row r="6" spans="1:33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Z6" s="6" t="s">
        <v>124</v>
      </c>
      <c r="AC6" s="68">
        <v>1</v>
      </c>
      <c r="AD6" s="68"/>
      <c r="AE6" s="8" t="s">
        <v>125</v>
      </c>
      <c r="AF6" s="68">
        <v>1</v>
      </c>
      <c r="AG6" s="68"/>
    </row>
    <row r="7" spans="1:34" ht="9.75" customHeight="1">
      <c r="A7" s="6"/>
      <c r="B7" s="6"/>
      <c r="C7" s="24" t="s">
        <v>187</v>
      </c>
      <c r="D7" s="11" t="s">
        <v>189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Y7" s="6"/>
      <c r="Z7" s="3" t="s">
        <v>126</v>
      </c>
      <c r="AC7" s="68" t="s">
        <v>120</v>
      </c>
      <c r="AD7" s="68"/>
      <c r="AE7" s="68"/>
      <c r="AF7" s="68"/>
      <c r="AG7" s="68"/>
      <c r="AH7" s="6"/>
    </row>
    <row r="8" spans="1:33" ht="9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Y8" s="6"/>
      <c r="Z8" s="6" t="s">
        <v>127</v>
      </c>
      <c r="AC8" s="8">
        <v>0</v>
      </c>
      <c r="AD8" s="14"/>
      <c r="AE8" s="14"/>
      <c r="AF8" s="14"/>
      <c r="AG8" s="14"/>
    </row>
    <row r="9" spans="1:21" ht="9.75" customHeight="1">
      <c r="A9" s="6"/>
      <c r="B9" s="6"/>
      <c r="C9" s="6"/>
      <c r="D9" s="7" t="s">
        <v>190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30" ht="9.75" customHeight="1">
      <c r="A11" s="6"/>
      <c r="B11" s="6"/>
      <c r="C11" s="24" t="s">
        <v>191</v>
      </c>
      <c r="D11" s="11" t="s">
        <v>188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AA11" s="6"/>
      <c r="AB11" s="6"/>
      <c r="AC11" s="6"/>
      <c r="AD11" s="6"/>
    </row>
    <row r="12" spans="1:30" ht="9.75" customHeight="1">
      <c r="A12" s="6"/>
      <c r="B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AA12" s="6"/>
      <c r="AB12" s="6"/>
      <c r="AC12" s="6"/>
      <c r="AD12" s="6"/>
    </row>
    <row r="13" spans="1:31" s="2" customFormat="1" ht="9.75" customHeight="1">
      <c r="A13" s="6"/>
      <c r="B13" s="6"/>
      <c r="C13" s="3"/>
      <c r="D13" s="7" t="s">
        <v>87</v>
      </c>
      <c r="E13" s="6"/>
      <c r="F13" s="6"/>
      <c r="G13" s="6"/>
      <c r="H13" s="6"/>
      <c r="I13" s="6"/>
      <c r="J13" s="6"/>
      <c r="K13" s="6"/>
      <c r="M13" s="6"/>
      <c r="N13" s="63">
        <v>10.5</v>
      </c>
      <c r="O13" s="63"/>
      <c r="P13" s="63"/>
      <c r="Q13" s="6"/>
      <c r="R13" s="6" t="s">
        <v>29</v>
      </c>
      <c r="S13" s="6"/>
      <c r="T13" s="6"/>
      <c r="U13" s="6"/>
      <c r="V13" s="6"/>
      <c r="W13" s="3"/>
      <c r="X13" s="3"/>
      <c r="Y13" s="3"/>
      <c r="Z13" s="3"/>
      <c r="AA13" s="3"/>
      <c r="AB13" s="7"/>
      <c r="AD13" s="5"/>
      <c r="AE13" s="3"/>
    </row>
    <row r="14" spans="1:31" s="2" customFormat="1" ht="9.75" customHeight="1">
      <c r="A14" s="6"/>
      <c r="B14" s="6"/>
      <c r="C14" s="3"/>
      <c r="D14" s="7" t="s">
        <v>88</v>
      </c>
      <c r="E14" s="6"/>
      <c r="F14" s="6"/>
      <c r="G14" s="6"/>
      <c r="H14" s="6"/>
      <c r="I14" s="6"/>
      <c r="J14" s="6"/>
      <c r="K14" s="6"/>
      <c r="M14" s="6"/>
      <c r="N14" s="63">
        <v>240</v>
      </c>
      <c r="O14" s="63"/>
      <c r="P14" s="63"/>
      <c r="Q14" s="6"/>
      <c r="R14" s="6" t="s">
        <v>41</v>
      </c>
      <c r="S14" s="6"/>
      <c r="T14" s="6"/>
      <c r="U14" s="6"/>
      <c r="V14" s="6"/>
      <c r="W14" s="3"/>
      <c r="X14" s="3"/>
      <c r="Y14" s="3"/>
      <c r="Z14" s="3"/>
      <c r="AA14" s="3"/>
      <c r="AB14" s="6"/>
      <c r="AD14" s="5"/>
      <c r="AE14" s="3"/>
    </row>
    <row r="15" spans="1:30" ht="9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AA15" s="6"/>
      <c r="AB15" s="6"/>
      <c r="AC15" s="6"/>
      <c r="AD15" s="6"/>
    </row>
    <row r="16" spans="1:30" s="2" customFormat="1" ht="9.75" customHeight="1">
      <c r="A16" s="1"/>
      <c r="B16" s="1"/>
      <c r="D16" s="9" t="s">
        <v>89</v>
      </c>
      <c r="E16" s="1"/>
      <c r="F16" s="1"/>
      <c r="G16" s="1"/>
      <c r="H16" s="1"/>
      <c r="I16" s="1"/>
      <c r="J16" s="1"/>
      <c r="K16" s="1"/>
      <c r="M16" s="1"/>
      <c r="N16" s="62" t="s">
        <v>34</v>
      </c>
      <c r="O16" s="62"/>
      <c r="P16" s="62"/>
      <c r="Q16" s="1"/>
      <c r="R16" s="1"/>
      <c r="S16" s="1"/>
      <c r="T16" s="1"/>
      <c r="U16" s="1"/>
      <c r="V16" s="1"/>
      <c r="AB16" s="1"/>
      <c r="AD16" s="5"/>
    </row>
    <row r="17" spans="1:31" s="2" customFormat="1" ht="9.75" customHeight="1">
      <c r="A17" s="6"/>
      <c r="B17" s="6"/>
      <c r="C17" s="3"/>
      <c r="D17" s="1" t="s">
        <v>26</v>
      </c>
      <c r="E17" s="6"/>
      <c r="F17" s="6"/>
      <c r="G17" s="6"/>
      <c r="H17" s="6"/>
      <c r="I17" s="6"/>
      <c r="J17" s="6"/>
      <c r="K17" s="6"/>
      <c r="M17" s="6"/>
      <c r="N17" s="62" t="s">
        <v>42</v>
      </c>
      <c r="O17" s="62"/>
      <c r="P17" s="62"/>
      <c r="Q17" s="6"/>
      <c r="R17" s="6"/>
      <c r="S17" s="6"/>
      <c r="T17" s="6"/>
      <c r="U17" s="6"/>
      <c r="V17" s="6"/>
      <c r="W17" s="3"/>
      <c r="X17" s="3"/>
      <c r="Y17" s="3"/>
      <c r="Z17" s="3"/>
      <c r="AA17" s="3"/>
      <c r="AB17" s="6"/>
      <c r="AD17" s="5"/>
      <c r="AE17" s="3"/>
    </row>
    <row r="18" spans="1:31" s="2" customFormat="1" ht="9.75" customHeight="1">
      <c r="A18" s="6"/>
      <c r="B18" s="6"/>
      <c r="C18" s="3"/>
      <c r="D18" s="6" t="s">
        <v>37</v>
      </c>
      <c r="E18" s="6"/>
      <c r="F18" s="6"/>
      <c r="G18" s="6"/>
      <c r="H18" s="6"/>
      <c r="I18" s="6"/>
      <c r="J18" s="6"/>
      <c r="K18" s="6"/>
      <c r="M18" s="6"/>
      <c r="N18" s="61">
        <f>stress(N16,"plate",N17,N14,R14,R13,3)</f>
        <v>1406.1391592783186</v>
      </c>
      <c r="O18" s="61"/>
      <c r="P18" s="61"/>
      <c r="Q18" s="6"/>
      <c r="R18" s="6" t="str">
        <f>upsx(R13)</f>
        <v>kg/cm2</v>
      </c>
      <c r="S18" s="6"/>
      <c r="T18" s="6"/>
      <c r="U18" s="6"/>
      <c r="V18" s="6"/>
      <c r="W18" s="3"/>
      <c r="X18" s="3"/>
      <c r="Y18" s="3"/>
      <c r="Z18" s="3"/>
      <c r="AA18" s="3"/>
      <c r="AB18" s="7"/>
      <c r="AD18" s="5"/>
      <c r="AE18" s="3"/>
    </row>
    <row r="19" spans="1:31" s="2" customFormat="1" ht="9.75" customHeight="1">
      <c r="A19" s="1"/>
      <c r="B19" s="1"/>
      <c r="D19" s="1" t="s">
        <v>38</v>
      </c>
      <c r="E19" s="1"/>
      <c r="F19" s="1"/>
      <c r="G19" s="1"/>
      <c r="H19" s="1"/>
      <c r="I19" s="1"/>
      <c r="J19" s="1"/>
      <c r="K19" s="1"/>
      <c r="M19" s="1"/>
      <c r="N19" s="61">
        <f>ystrength(N16,"plate",N17,N14,R14,R13,3)</f>
        <v>2217.4814541819087</v>
      </c>
      <c r="O19" s="61"/>
      <c r="P19" s="61"/>
      <c r="Q19" s="1"/>
      <c r="R19" s="1" t="str">
        <f>R18</f>
        <v>kg/cm2</v>
      </c>
      <c r="S19" s="1"/>
      <c r="T19" s="1"/>
      <c r="U19" s="1"/>
      <c r="V19" s="1"/>
      <c r="Y19" s="3"/>
      <c r="Z19" s="3"/>
      <c r="AB19" s="9"/>
      <c r="AD19" s="5"/>
      <c r="AE19" s="3"/>
    </row>
    <row r="20" spans="1:30" s="2" customFormat="1" ht="9.75" customHeight="1">
      <c r="A20" s="1"/>
      <c r="B20" s="1"/>
      <c r="D20" s="6" t="s">
        <v>27</v>
      </c>
      <c r="E20" s="1"/>
      <c r="F20" s="1"/>
      <c r="G20" s="1"/>
      <c r="H20" s="1"/>
      <c r="I20" s="1"/>
      <c r="J20" s="1"/>
      <c r="K20" s="1"/>
      <c r="M20" s="1"/>
      <c r="N20" s="63">
        <v>1900</v>
      </c>
      <c r="O20" s="63"/>
      <c r="P20" s="63"/>
      <c r="Q20" s="1"/>
      <c r="R20" s="1" t="s">
        <v>30</v>
      </c>
      <c r="S20" s="1"/>
      <c r="T20" s="1"/>
      <c r="U20" s="1"/>
      <c r="V20" s="1"/>
      <c r="AB20" s="1"/>
      <c r="AD20" s="5"/>
    </row>
    <row r="21" spans="1:31" s="2" customFormat="1" ht="9.75" customHeight="1">
      <c r="A21" s="6"/>
      <c r="B21" s="6"/>
      <c r="C21" s="3"/>
      <c r="D21" s="1" t="s">
        <v>25</v>
      </c>
      <c r="E21" s="6"/>
      <c r="F21" s="6"/>
      <c r="G21" s="6"/>
      <c r="H21" s="6"/>
      <c r="I21" s="6"/>
      <c r="J21" s="6"/>
      <c r="K21" s="6"/>
      <c r="M21" s="6"/>
      <c r="N21" s="63">
        <f>25.4*0.375</f>
        <v>9.524999999999999</v>
      </c>
      <c r="O21" s="63"/>
      <c r="P21" s="63"/>
      <c r="Q21" s="6"/>
      <c r="R21" s="6" t="s">
        <v>30</v>
      </c>
      <c r="S21" s="6"/>
      <c r="T21" s="6"/>
      <c r="U21" s="6"/>
      <c r="V21" s="6"/>
      <c r="W21" s="3"/>
      <c r="X21" s="3"/>
      <c r="Y21" s="3"/>
      <c r="Z21" s="3"/>
      <c r="AA21" s="3"/>
      <c r="AB21" s="7"/>
      <c r="AD21" s="5"/>
      <c r="AE21" s="3"/>
    </row>
    <row r="22" spans="1:31" s="2" customFormat="1" ht="9.75" customHeight="1">
      <c r="A22" s="6"/>
      <c r="B22" s="6"/>
      <c r="D22" s="6" t="s">
        <v>100</v>
      </c>
      <c r="E22" s="6"/>
      <c r="F22" s="6"/>
      <c r="G22" s="6"/>
      <c r="H22" s="6"/>
      <c r="I22" s="6"/>
      <c r="J22" s="6"/>
      <c r="K22" s="6"/>
      <c r="M22" s="6"/>
      <c r="N22" s="63">
        <v>10</v>
      </c>
      <c r="O22" s="63"/>
      <c r="P22" s="63"/>
      <c r="Q22" s="6"/>
      <c r="R22" s="6" t="s">
        <v>102</v>
      </c>
      <c r="S22" s="6"/>
      <c r="T22" s="6"/>
      <c r="U22" s="3"/>
      <c r="V22" s="3"/>
      <c r="W22" s="3"/>
      <c r="X22" s="3"/>
      <c r="Y22" s="3"/>
      <c r="Z22" s="3"/>
      <c r="AA22" s="6"/>
      <c r="AB22" s="7"/>
      <c r="AC22" s="6"/>
      <c r="AD22" s="5"/>
      <c r="AE22" s="3"/>
    </row>
    <row r="23" spans="1:31" s="2" customFormat="1" ht="9.75" customHeight="1">
      <c r="A23" s="6"/>
      <c r="B23" s="6"/>
      <c r="C23" s="3"/>
      <c r="D23" s="6" t="s">
        <v>33</v>
      </c>
      <c r="E23" s="6"/>
      <c r="F23" s="6"/>
      <c r="G23" s="6"/>
      <c r="H23" s="6"/>
      <c r="I23" s="6"/>
      <c r="J23" s="6"/>
      <c r="K23" s="6"/>
      <c r="M23" s="6"/>
      <c r="N23" s="63">
        <v>3</v>
      </c>
      <c r="O23" s="63"/>
      <c r="P23" s="63"/>
      <c r="Q23" s="6"/>
      <c r="R23" s="6" t="s">
        <v>30</v>
      </c>
      <c r="S23" s="6"/>
      <c r="T23" s="6"/>
      <c r="U23" s="6"/>
      <c r="V23" s="6"/>
      <c r="W23" s="3"/>
      <c r="X23" s="3"/>
      <c r="Y23" s="3"/>
      <c r="Z23" s="3"/>
      <c r="AA23" s="3"/>
      <c r="AB23" s="6"/>
      <c r="AD23" s="5"/>
      <c r="AE23" s="3"/>
    </row>
    <row r="24" spans="1:31" s="2" customFormat="1" ht="9.75" customHeight="1">
      <c r="A24" s="6"/>
      <c r="B24" s="6"/>
      <c r="C24" s="3"/>
      <c r="D24" s="6" t="s">
        <v>31</v>
      </c>
      <c r="E24" s="6"/>
      <c r="F24" s="6"/>
      <c r="G24" s="6"/>
      <c r="H24" s="6"/>
      <c r="I24" s="6"/>
      <c r="J24" s="6"/>
      <c r="K24" s="6"/>
      <c r="M24" s="6"/>
      <c r="N24" s="62">
        <f>(N20+2*N23+(N21-N23))/2</f>
        <v>956.2625</v>
      </c>
      <c r="O24" s="62"/>
      <c r="P24" s="62"/>
      <c r="Q24" s="6"/>
      <c r="R24" s="6" t="s">
        <v>30</v>
      </c>
      <c r="S24" s="6"/>
      <c r="T24" s="6"/>
      <c r="U24" s="6"/>
      <c r="V24" s="6"/>
      <c r="W24" s="3"/>
      <c r="X24" s="3"/>
      <c r="Y24" s="3"/>
      <c r="Z24" s="3"/>
      <c r="AA24" s="3"/>
      <c r="AB24" s="7"/>
      <c r="AD24" s="5"/>
      <c r="AE24" s="3"/>
    </row>
    <row r="25" spans="1:30" ht="9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AA25" s="6"/>
      <c r="AB25" s="6"/>
      <c r="AC25" s="6"/>
      <c r="AD25" s="6"/>
    </row>
    <row r="26" spans="1:30" ht="9.75" customHeight="1">
      <c r="A26" s="6"/>
      <c r="B26" s="6"/>
      <c r="D26" s="9" t="s">
        <v>90</v>
      </c>
      <c r="E26" s="6"/>
      <c r="F26" s="6"/>
      <c r="G26" s="6"/>
      <c r="H26" s="6"/>
      <c r="I26" s="6"/>
      <c r="J26" s="6"/>
      <c r="K26" s="6"/>
      <c r="L26" s="6"/>
      <c r="M26" s="6"/>
      <c r="N26" s="62" t="s">
        <v>34</v>
      </c>
      <c r="O26" s="62"/>
      <c r="P26" s="62"/>
      <c r="Q26" s="6"/>
      <c r="R26" s="6"/>
      <c r="AA26" s="6"/>
      <c r="AB26" s="6"/>
      <c r="AC26" s="6"/>
      <c r="AD26" s="6"/>
    </row>
    <row r="27" spans="1:30" ht="9.75" customHeight="1">
      <c r="A27" s="6"/>
      <c r="B27" s="6"/>
      <c r="C27" s="6"/>
      <c r="D27" s="6" t="s">
        <v>21</v>
      </c>
      <c r="E27" s="6"/>
      <c r="F27" s="6"/>
      <c r="G27" s="6"/>
      <c r="H27" s="6"/>
      <c r="I27" s="6"/>
      <c r="J27" s="6"/>
      <c r="K27" s="6"/>
      <c r="L27" s="6"/>
      <c r="M27" s="62" t="s">
        <v>35</v>
      </c>
      <c r="N27" s="62"/>
      <c r="O27" s="62"/>
      <c r="P27" s="62"/>
      <c r="Q27" s="6"/>
      <c r="AA27" s="6"/>
      <c r="AB27" s="6"/>
      <c r="AC27" s="6"/>
      <c r="AD27" s="6"/>
    </row>
    <row r="28" spans="1:30" ht="9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AA28" s="6"/>
      <c r="AB28" s="6"/>
      <c r="AC28" s="6"/>
      <c r="AD28" s="6"/>
    </row>
    <row r="29" spans="1:21" ht="9.75" customHeight="1">
      <c r="A29" s="6"/>
      <c r="B29" s="6"/>
      <c r="C29" s="24" t="s">
        <v>192</v>
      </c>
      <c r="D29" s="11" t="s">
        <v>193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9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9.75" customHeight="1">
      <c r="A31" s="6"/>
      <c r="B31" s="6"/>
      <c r="C31" s="6"/>
      <c r="D31" s="7" t="s">
        <v>198</v>
      </c>
      <c r="E31" s="6"/>
      <c r="F31" s="6"/>
      <c r="G31" s="6" t="s">
        <v>194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9.75" customHeight="1">
      <c r="A32" s="6"/>
      <c r="B32" s="6"/>
      <c r="C32" s="6"/>
      <c r="D32" s="7" t="s">
        <v>216</v>
      </c>
      <c r="E32" s="6"/>
      <c r="F32" s="6"/>
      <c r="G32" s="6" t="s">
        <v>219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9.75" customHeight="1">
      <c r="A33" s="6"/>
      <c r="B33" s="6"/>
      <c r="C33" s="6"/>
      <c r="D33" s="7" t="s">
        <v>217</v>
      </c>
      <c r="E33" s="6"/>
      <c r="F33" s="6"/>
      <c r="G33" s="6" t="s">
        <v>195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9.75" customHeight="1">
      <c r="A34" s="6"/>
      <c r="B34" s="6"/>
      <c r="C34" s="6"/>
      <c r="D34" s="7" t="s">
        <v>199</v>
      </c>
      <c r="E34" s="6"/>
      <c r="F34" s="6"/>
      <c r="G34" s="6" t="s">
        <v>197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9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9.75" customHeight="1">
      <c r="A36" s="6"/>
      <c r="B36" s="6"/>
      <c r="C36" s="6"/>
      <c r="D36" s="7" t="s">
        <v>201</v>
      </c>
      <c r="E36" s="6"/>
      <c r="F36" s="6"/>
      <c r="G36" s="6" t="s">
        <v>196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9.75" customHeight="1">
      <c r="A37" s="6"/>
      <c r="B37" s="6"/>
      <c r="C37" s="6"/>
      <c r="D37" s="7" t="s">
        <v>204</v>
      </c>
      <c r="E37" s="6"/>
      <c r="F37" s="6"/>
      <c r="G37" s="6" t="s">
        <v>209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9.75" customHeight="1">
      <c r="A38" s="6"/>
      <c r="B38" s="6"/>
      <c r="C38" s="6"/>
      <c r="D38" s="7" t="s">
        <v>200</v>
      </c>
      <c r="E38" s="6"/>
      <c r="F38" s="6"/>
      <c r="G38" s="6" t="s">
        <v>208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9.75" customHeight="1">
      <c r="A39" s="6"/>
      <c r="B39" s="6"/>
      <c r="C39" s="6"/>
      <c r="D39" s="7" t="s">
        <v>110</v>
      </c>
      <c r="E39" s="6"/>
      <c r="F39" s="6"/>
      <c r="G39" s="6" t="s">
        <v>210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9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9.75" customHeight="1">
      <c r="A41" s="6"/>
      <c r="B41" s="6"/>
      <c r="C41" s="24" t="s">
        <v>202</v>
      </c>
      <c r="D41" s="11" t="s">
        <v>203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9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34" ht="9.75" customHeight="1">
      <c r="A43" s="6"/>
      <c r="B43" s="6"/>
      <c r="C43" s="72" t="s">
        <v>223</v>
      </c>
      <c r="D43" s="72"/>
      <c r="E43" s="115"/>
      <c r="F43" s="116" t="s">
        <v>212</v>
      </c>
      <c r="G43" s="72"/>
      <c r="H43" s="72"/>
      <c r="I43" s="72"/>
      <c r="J43" s="115"/>
      <c r="K43" s="116" t="s">
        <v>128</v>
      </c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115"/>
      <c r="W43" s="72" t="s">
        <v>129</v>
      </c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ht="9.75" customHeight="1">
      <c r="A44" s="6"/>
      <c r="B44" s="6"/>
      <c r="C44" s="105" t="s">
        <v>224</v>
      </c>
      <c r="D44" s="105"/>
      <c r="E44" s="106"/>
      <c r="F44" s="107" t="s">
        <v>213</v>
      </c>
      <c r="G44" s="108"/>
      <c r="H44" s="117" t="s">
        <v>226</v>
      </c>
      <c r="I44" s="118"/>
      <c r="J44" s="119"/>
      <c r="K44" s="120" t="s">
        <v>198</v>
      </c>
      <c r="L44" s="121"/>
      <c r="M44" s="121"/>
      <c r="N44" s="121" t="s">
        <v>216</v>
      </c>
      <c r="O44" s="121"/>
      <c r="P44" s="121"/>
      <c r="Q44" s="121" t="s">
        <v>217</v>
      </c>
      <c r="R44" s="121"/>
      <c r="S44" s="121"/>
      <c r="T44" s="121" t="s">
        <v>227</v>
      </c>
      <c r="U44" s="121"/>
      <c r="V44" s="137"/>
      <c r="W44" s="120" t="s">
        <v>201</v>
      </c>
      <c r="X44" s="121"/>
      <c r="Y44" s="121"/>
      <c r="Z44" s="121" t="s">
        <v>204</v>
      </c>
      <c r="AA44" s="121"/>
      <c r="AB44" s="121"/>
      <c r="AC44" s="121" t="s">
        <v>200</v>
      </c>
      <c r="AD44" s="121"/>
      <c r="AE44" s="121"/>
      <c r="AF44" s="121" t="s">
        <v>228</v>
      </c>
      <c r="AG44" s="121"/>
      <c r="AH44" s="136"/>
    </row>
    <row r="45" spans="1:34" ht="9.75" customHeight="1">
      <c r="A45" s="6"/>
      <c r="B45" s="6"/>
      <c r="C45" s="105"/>
      <c r="D45" s="105"/>
      <c r="E45" s="106"/>
      <c r="F45" s="109"/>
      <c r="G45" s="110"/>
      <c r="H45" s="133" t="s">
        <v>211</v>
      </c>
      <c r="I45" s="134"/>
      <c r="J45" s="135"/>
      <c r="K45" s="129" t="str">
        <f>upsForce(R13)</f>
        <v>kgf</v>
      </c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1"/>
      <c r="W45" s="129" t="str">
        <f>upsMoment(R13)</f>
        <v>kgf.m</v>
      </c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</row>
    <row r="46" spans="1:36" ht="9.75" customHeight="1">
      <c r="A46" s="6"/>
      <c r="B46" s="6"/>
      <c r="C46" s="111" t="s">
        <v>225</v>
      </c>
      <c r="D46" s="111"/>
      <c r="E46" s="112"/>
      <c r="F46" s="113" t="s">
        <v>214</v>
      </c>
      <c r="G46" s="114"/>
      <c r="H46" s="122">
        <f>IF(F46="","",pipe(N26,M27,F46,AJ46,1))</f>
        <v>114.3</v>
      </c>
      <c r="I46" s="123"/>
      <c r="J46" s="124"/>
      <c r="K46" s="125">
        <f>IF(F46="","",cal_NZLDA(N13,R13,N18,N19,N20,N21,N22,N23,H46,H63,H64,1))</f>
        <v>571.2836836804536</v>
      </c>
      <c r="L46" s="126"/>
      <c r="M46" s="127"/>
      <c r="N46" s="128">
        <f>IF(F46="","",cal_NZLDA(N13,R13,N18,N19,N20,N21,N22,N23,H46,H63,H64,2))</f>
        <v>801.6589668891922</v>
      </c>
      <c r="O46" s="126"/>
      <c r="P46" s="127"/>
      <c r="Q46" s="128">
        <f>IF(F46="","",cal_NZLDA(N13,R13,N18,N19,N20,N21,N22,N23,H46,H63,H64,3))</f>
        <v>801.6589668891922</v>
      </c>
      <c r="R46" s="126"/>
      <c r="S46" s="127"/>
      <c r="T46" s="128">
        <f>IF(F46="","",cal_NZLDA(N13,R13,N18,N19,N20,N21,N22,N23,H46,H63,H64,4))</f>
        <v>1269.5192970676744</v>
      </c>
      <c r="U46" s="126"/>
      <c r="V46" s="132"/>
      <c r="W46" s="125">
        <f>IF(F46="","",cal_NZLDA(N13,R13,N18,N19,N20,N21,N22,N23,H46,H63,H64,11))</f>
        <v>60.146680196640354</v>
      </c>
      <c r="X46" s="126"/>
      <c r="Y46" s="127"/>
      <c r="Z46" s="128">
        <f>IF(F46="","",cal_NZLDA(N13,R13,N18,N19,N20,N21,N22,N23,H46,H63,H64,12))</f>
        <v>141.65101695737192</v>
      </c>
      <c r="AA46" s="126"/>
      <c r="AB46" s="127"/>
      <c r="AC46" s="128">
        <f>IF(F46="","",cal_NZLDA(N13,R13,N18,N19,N20,N21,N22,N23,H46,H63,H64,13))</f>
        <v>80.19557359552049</v>
      </c>
      <c r="AD46" s="126"/>
      <c r="AE46" s="127"/>
      <c r="AF46" s="128">
        <f>IF(F46="","",cal_NZLDA(N13,R13,N18,N19,N20,N21,N22,N23,H46,H63,H64,14))</f>
        <v>173.53375397325192</v>
      </c>
      <c r="AG46" s="126"/>
      <c r="AH46" s="126"/>
      <c r="AJ46" s="3" t="s">
        <v>36</v>
      </c>
    </row>
    <row r="47" spans="1:34" ht="9.75" customHeight="1">
      <c r="A47" s="6"/>
      <c r="B47" s="6"/>
      <c r="C47" s="85"/>
      <c r="D47" s="85"/>
      <c r="E47" s="86"/>
      <c r="F47" s="83"/>
      <c r="G47" s="84"/>
      <c r="H47" s="99"/>
      <c r="I47" s="100"/>
      <c r="J47" s="101"/>
      <c r="K47" s="97"/>
      <c r="L47" s="90"/>
      <c r="M47" s="93"/>
      <c r="N47" s="89"/>
      <c r="O47" s="90"/>
      <c r="P47" s="93"/>
      <c r="Q47" s="89"/>
      <c r="R47" s="90"/>
      <c r="S47" s="93"/>
      <c r="T47" s="89"/>
      <c r="U47" s="90"/>
      <c r="V47" s="95"/>
      <c r="W47" s="97"/>
      <c r="X47" s="90"/>
      <c r="Y47" s="93"/>
      <c r="Z47" s="89"/>
      <c r="AA47" s="90"/>
      <c r="AB47" s="93"/>
      <c r="AC47" s="89"/>
      <c r="AD47" s="90"/>
      <c r="AE47" s="93"/>
      <c r="AF47" s="89"/>
      <c r="AG47" s="90"/>
      <c r="AH47" s="90"/>
    </row>
    <row r="48" spans="1:34" ht="9.75" customHeight="1">
      <c r="A48" s="6"/>
      <c r="B48" s="6"/>
      <c r="C48" s="77"/>
      <c r="D48" s="77"/>
      <c r="E48" s="78"/>
      <c r="F48" s="81" t="s">
        <v>215</v>
      </c>
      <c r="G48" s="82"/>
      <c r="H48" s="99">
        <f>IF(F48="","",pipe(N26,M27,F48,AJ46,1))</f>
        <v>219.075</v>
      </c>
      <c r="I48" s="100"/>
      <c r="J48" s="101"/>
      <c r="K48" s="97">
        <f>IF(F48="","",cal_NZLDA(N13,R13,N18,N19,N20,N21,N22,N23,H48,H63,H64,1))</f>
        <v>907.1883794361761</v>
      </c>
      <c r="L48" s="90"/>
      <c r="M48" s="93"/>
      <c r="N48" s="89">
        <f>IF(F48="","",cal_NZLDA(N13,R13,N18,N19,N20,N21,N22,N23,H48,H63,H64,2))</f>
        <v>1273.0202521230672</v>
      </c>
      <c r="O48" s="90"/>
      <c r="P48" s="93"/>
      <c r="Q48" s="89">
        <f>IF(F48="","",cal_NZLDA(N13,R13,N18,N19,N20,N21,N22,N23,H48,H63,H64,3))</f>
        <v>1273.0202521230672</v>
      </c>
      <c r="R48" s="90"/>
      <c r="S48" s="93"/>
      <c r="T48" s="89">
        <f>IF(F48="","",cal_NZLDA(N13,R13,N18,N19,N20,N21,N22,N23,H48,H63,H64,4))</f>
        <v>2015.9741765248357</v>
      </c>
      <c r="U48" s="90"/>
      <c r="V48" s="95"/>
      <c r="W48" s="97">
        <f>IF(F48="","",cal_NZLDA(N13,R13,N18,N19,N20,N21,N22,N23,H48,H63,H64,11))</f>
        <v>146.53819540379854</v>
      </c>
      <c r="X48" s="90"/>
      <c r="Y48" s="93"/>
      <c r="Z48" s="89">
        <f>IF(F48="","",cal_NZLDA(N13,R13,N18,N19,N20,N21,N22,N23,H48,H63,H64,12))</f>
        <v>320.94882122705405</v>
      </c>
      <c r="AA48" s="90"/>
      <c r="AB48" s="93"/>
      <c r="AC48" s="89">
        <f>IF(F48="","",cal_NZLDA(N13,R13,N18,N19,N20,N21,N22,N23,H48,H63,H64,13))</f>
        <v>195.38426053839805</v>
      </c>
      <c r="AD48" s="90"/>
      <c r="AE48" s="93"/>
      <c r="AF48" s="89">
        <f>IF(F48="","",cal_NZLDA(N13,R13,N18,N19,N20,N21,N22,N23,H48,H63,H64,14))</f>
        <v>403.3070763393247</v>
      </c>
      <c r="AG48" s="90"/>
      <c r="AH48" s="90"/>
    </row>
    <row r="49" spans="1:34" ht="9.75" customHeight="1">
      <c r="A49" s="6"/>
      <c r="B49" s="6"/>
      <c r="C49" s="85"/>
      <c r="D49" s="85"/>
      <c r="E49" s="86"/>
      <c r="F49" s="83"/>
      <c r="G49" s="84"/>
      <c r="H49" s="99"/>
      <c r="I49" s="100"/>
      <c r="J49" s="101"/>
      <c r="K49" s="97"/>
      <c r="L49" s="90"/>
      <c r="M49" s="93"/>
      <c r="N49" s="89"/>
      <c r="O49" s="90"/>
      <c r="P49" s="93"/>
      <c r="Q49" s="89"/>
      <c r="R49" s="90"/>
      <c r="S49" s="93"/>
      <c r="T49" s="89"/>
      <c r="U49" s="90"/>
      <c r="V49" s="95"/>
      <c r="W49" s="97"/>
      <c r="X49" s="90"/>
      <c r="Y49" s="93"/>
      <c r="Z49" s="89"/>
      <c r="AA49" s="90"/>
      <c r="AB49" s="93"/>
      <c r="AC49" s="89"/>
      <c r="AD49" s="90"/>
      <c r="AE49" s="93"/>
      <c r="AF49" s="89"/>
      <c r="AG49" s="90"/>
      <c r="AH49" s="90"/>
    </row>
    <row r="50" spans="1:34" ht="9.75" customHeight="1">
      <c r="A50" s="6"/>
      <c r="B50" s="6"/>
      <c r="C50" s="77"/>
      <c r="D50" s="77"/>
      <c r="E50" s="78"/>
      <c r="F50" s="81" t="s">
        <v>220</v>
      </c>
      <c r="G50" s="82"/>
      <c r="H50" s="99">
        <f>IF(F50="","",pipe(N26,M27,F50,AJ46,1))</f>
        <v>323.84999999999997</v>
      </c>
      <c r="I50" s="100"/>
      <c r="J50" s="101"/>
      <c r="K50" s="97">
        <f>IF(F50="","",cal_NZLDA(N13,R13,N18,N19,N20,N21,N22,N23,H50,H63,H64,1))</f>
        <v>1308.4798288857235</v>
      </c>
      <c r="L50" s="90"/>
      <c r="M50" s="93"/>
      <c r="N50" s="89">
        <f>IF(F50="","",cal_NZLDA(N13,R13,N18,N19,N20,N21,N22,N23,H50,H63,H64,2))</f>
        <v>1836.1360875249622</v>
      </c>
      <c r="O50" s="90"/>
      <c r="P50" s="93"/>
      <c r="Q50" s="89">
        <f>IF(F50="","",cal_NZLDA(N13,R13,N18,N19,N20,N21,N22,N23,H50,H63,H64,3))</f>
        <v>1836.1360875249622</v>
      </c>
      <c r="R50" s="90"/>
      <c r="S50" s="93"/>
      <c r="T50" s="89">
        <f>IF(F50="","",cal_NZLDA(N13,R13,N18,N19,N20,N21,N22,N23,H50,H63,H64,4))</f>
        <v>2907.7329530793854</v>
      </c>
      <c r="U50" s="90"/>
      <c r="V50" s="95"/>
      <c r="W50" s="97">
        <f>IF(F50="","",cal_NZLDA(N13,R13,N18,N19,N20,N21,N22,N23,H50,H63,H64,11))</f>
        <v>316.97943879750267</v>
      </c>
      <c r="X50" s="90"/>
      <c r="Y50" s="93"/>
      <c r="Z50" s="89">
        <f>IF(F50="","",cal_NZLDA(N13,R13,N18,N19,N20,N21,N22,N23,H50,H63,H64,12))</f>
        <v>598.7301298114962</v>
      </c>
      <c r="AA50" s="90"/>
      <c r="AB50" s="93"/>
      <c r="AC50" s="89">
        <f>IF(F50="","",cal_NZLDA(N13,R13,N18,N19,N20,N21,N22,N23,H50,H63,H64,13))</f>
        <v>422.6392517300036</v>
      </c>
      <c r="AD50" s="90"/>
      <c r="AE50" s="93"/>
      <c r="AF50" s="89">
        <f>IF(F50="","",cal_NZLDA(N13,R13,N18,N19,N20,N21,N22,N23,H50,H63,H64,14))</f>
        <v>798.4846085350476</v>
      </c>
      <c r="AG50" s="90"/>
      <c r="AH50" s="90"/>
    </row>
    <row r="51" spans="1:34" ht="9.75" customHeight="1">
      <c r="A51" s="6"/>
      <c r="B51" s="6"/>
      <c r="C51" s="85"/>
      <c r="D51" s="85"/>
      <c r="E51" s="86"/>
      <c r="F51" s="83"/>
      <c r="G51" s="84"/>
      <c r="H51" s="99"/>
      <c r="I51" s="100"/>
      <c r="J51" s="101"/>
      <c r="K51" s="97"/>
      <c r="L51" s="90"/>
      <c r="M51" s="93"/>
      <c r="N51" s="89"/>
      <c r="O51" s="90"/>
      <c r="P51" s="93"/>
      <c r="Q51" s="89"/>
      <c r="R51" s="90"/>
      <c r="S51" s="93"/>
      <c r="T51" s="89"/>
      <c r="U51" s="90"/>
      <c r="V51" s="95"/>
      <c r="W51" s="97"/>
      <c r="X51" s="90"/>
      <c r="Y51" s="93"/>
      <c r="Z51" s="89"/>
      <c r="AA51" s="90"/>
      <c r="AB51" s="93"/>
      <c r="AC51" s="89"/>
      <c r="AD51" s="90"/>
      <c r="AE51" s="93"/>
      <c r="AF51" s="89"/>
      <c r="AG51" s="90"/>
      <c r="AH51" s="90"/>
    </row>
    <row r="52" spans="1:34" ht="9.75" customHeight="1">
      <c r="A52" s="6"/>
      <c r="B52" s="6"/>
      <c r="C52" s="77"/>
      <c r="D52" s="77"/>
      <c r="E52" s="78"/>
      <c r="F52" s="81" t="s">
        <v>221</v>
      </c>
      <c r="G52" s="82"/>
      <c r="H52" s="99">
        <f>IF(F52="","",pipe(N26,M27,F52,AJ46,1))</f>
        <v>406.4</v>
      </c>
      <c r="I52" s="100"/>
      <c r="J52" s="101"/>
      <c r="K52" s="97">
        <f>IF(F52="","",cal_NZLDA(N13,R13,N18,N19,N20,N21,N22,N23,H52,H63,H64,1))</f>
        <v>1674.2897124136798</v>
      </c>
      <c r="L52" s="90"/>
      <c r="M52" s="93"/>
      <c r="N52" s="89">
        <f>IF(F52="","",cal_NZLDA(N13,R13,N18,N19,N20,N21,N22,N23,H52,H63,H64,2))</f>
        <v>2349.462096448593</v>
      </c>
      <c r="O52" s="90"/>
      <c r="P52" s="93"/>
      <c r="Q52" s="89">
        <f>IF(F52="","",cal_NZLDA(N13,R13,N18,N19,N20,N21,N22,N23,H52,H63,H64,3))</f>
        <v>2349.462096448593</v>
      </c>
      <c r="R52" s="90"/>
      <c r="S52" s="93"/>
      <c r="T52" s="89">
        <f>IF(F52="","",cal_NZLDA(N13,R13,N18,N19,N20,N21,N22,N23,H52,H63,H64,4))</f>
        <v>3720.643805363733</v>
      </c>
      <c r="U52" s="90"/>
      <c r="V52" s="95"/>
      <c r="W52" s="97">
        <f>IF(F52="","",cal_NZLDA(N13,R13,N18,N19,N20,N21,N22,N23,H52,H63,H64,11))</f>
        <v>531.2061673758096</v>
      </c>
      <c r="X52" s="90"/>
      <c r="Y52" s="93"/>
      <c r="Z52" s="89">
        <f>IF(F52="","",cal_NZLDA(N13,R13,N18,N19,N20,N21,N22,N23,H52,H63,H64,12))</f>
        <v>886.9497089309684</v>
      </c>
      <c r="AA52" s="90"/>
      <c r="AB52" s="93"/>
      <c r="AC52" s="89">
        <f>IF(F52="","",cal_NZLDA(N13,R13,N18,N19,N20,N21,N22,N23,H52,H63,H64,13))</f>
        <v>708.2748898344129</v>
      </c>
      <c r="AD52" s="90"/>
      <c r="AE52" s="93"/>
      <c r="AF52" s="89">
        <f>IF(F52="","",cal_NZLDA(N13,R13,N18,N19,N20,N21,N22,N23,H52,H63,H64,14))</f>
        <v>1253.2011402806718</v>
      </c>
      <c r="AG52" s="90"/>
      <c r="AH52" s="90"/>
    </row>
    <row r="53" spans="1:34" ht="9.75" customHeight="1">
      <c r="A53" s="6"/>
      <c r="B53" s="6"/>
      <c r="C53" s="85"/>
      <c r="D53" s="85"/>
      <c r="E53" s="86"/>
      <c r="F53" s="83"/>
      <c r="G53" s="84"/>
      <c r="H53" s="99"/>
      <c r="I53" s="100"/>
      <c r="J53" s="101"/>
      <c r="K53" s="97"/>
      <c r="L53" s="90"/>
      <c r="M53" s="93"/>
      <c r="N53" s="89"/>
      <c r="O53" s="90"/>
      <c r="P53" s="93"/>
      <c r="Q53" s="89"/>
      <c r="R53" s="90"/>
      <c r="S53" s="93"/>
      <c r="T53" s="89"/>
      <c r="U53" s="90"/>
      <c r="V53" s="95"/>
      <c r="W53" s="97"/>
      <c r="X53" s="90"/>
      <c r="Y53" s="93"/>
      <c r="Z53" s="89"/>
      <c r="AA53" s="90"/>
      <c r="AB53" s="93"/>
      <c r="AC53" s="89"/>
      <c r="AD53" s="90"/>
      <c r="AE53" s="93"/>
      <c r="AF53" s="89"/>
      <c r="AG53" s="90"/>
      <c r="AH53" s="90"/>
    </row>
    <row r="54" spans="1:34" ht="9.75" customHeight="1">
      <c r="A54" s="6"/>
      <c r="B54" s="6"/>
      <c r="C54" s="77"/>
      <c r="D54" s="77"/>
      <c r="E54" s="78"/>
      <c r="F54" s="81" t="s">
        <v>222</v>
      </c>
      <c r="G54" s="82"/>
      <c r="H54" s="99">
        <f>IF(F54="","",pipe(N26,M27,F54,AJ46,1))</f>
        <v>508</v>
      </c>
      <c r="I54" s="100"/>
      <c r="J54" s="101"/>
      <c r="K54" s="97">
        <f>IF(F54="","",cal_NZLDA(N13,R13,N18,N19,N20,N21,N22,N23,H54,H63,H64,1))</f>
        <v>2253.615666589531</v>
      </c>
      <c r="L54" s="90"/>
      <c r="M54" s="93"/>
      <c r="N54" s="89">
        <f>IF(F54="","",cal_NZLDA(N13,R13,N18,N19,N20,N21,N22,N23,H54,H63,H64,2))</f>
        <v>3162.4064517375523</v>
      </c>
      <c r="O54" s="90"/>
      <c r="P54" s="93"/>
      <c r="Q54" s="89">
        <f>IF(F54="","",cal_NZLDA(N13,R13,N18,N19,N20,N21,N22,N23,H54,H63,H64,3))</f>
        <v>3162.4064517375523</v>
      </c>
      <c r="R54" s="90"/>
      <c r="S54" s="93"/>
      <c r="T54" s="89">
        <f>IF(F54="","",cal_NZLDA(N13,R13,N18,N19,N20,N21,N22,N23,H54,H63,H64,4))</f>
        <v>5008.034814643402</v>
      </c>
      <c r="U54" s="90"/>
      <c r="V54" s="95"/>
      <c r="W54" s="97">
        <f>IF(F54="","",cal_NZLDA(N13,R13,N18,N19,N20,N21,N22,N23,H54,H63,H64,11))</f>
        <v>912.0177290346527</v>
      </c>
      <c r="X54" s="90"/>
      <c r="Y54" s="93"/>
      <c r="Z54" s="89">
        <f>IF(F54="","",cal_NZLDA(N13,R13,N18,N19,N20,N21,N22,N23,H54,H63,H64,12))</f>
        <v>1317.1428617746644</v>
      </c>
      <c r="AA54" s="90"/>
      <c r="AB54" s="93"/>
      <c r="AC54" s="89">
        <f>IF(F54="","",cal_NZLDA(N13,R13,N18,N19,N20,N21,N22,N23,H54,H63,H64,13))</f>
        <v>1216.02363871287</v>
      </c>
      <c r="AD54" s="90"/>
      <c r="AE54" s="93"/>
      <c r="AF54" s="89">
        <f>IF(F54="","",cal_NZLDA(N13,R13,N18,N19,N20,N21,N22,N23,H54,H63,H64,14))</f>
        <v>2011.3068255007654</v>
      </c>
      <c r="AG54" s="90"/>
      <c r="AH54" s="90"/>
    </row>
    <row r="55" spans="1:34" ht="9.75" customHeight="1">
      <c r="A55" s="6"/>
      <c r="B55" s="6"/>
      <c r="C55" s="85"/>
      <c r="D55" s="85"/>
      <c r="E55" s="86"/>
      <c r="F55" s="83"/>
      <c r="G55" s="84"/>
      <c r="H55" s="99"/>
      <c r="I55" s="100"/>
      <c r="J55" s="101"/>
      <c r="K55" s="97"/>
      <c r="L55" s="90"/>
      <c r="M55" s="93"/>
      <c r="N55" s="89"/>
      <c r="O55" s="90"/>
      <c r="P55" s="93"/>
      <c r="Q55" s="89"/>
      <c r="R55" s="90"/>
      <c r="S55" s="93"/>
      <c r="T55" s="89"/>
      <c r="U55" s="90"/>
      <c r="V55" s="95"/>
      <c r="W55" s="97"/>
      <c r="X55" s="90"/>
      <c r="Y55" s="93"/>
      <c r="Z55" s="89"/>
      <c r="AA55" s="90"/>
      <c r="AB55" s="93"/>
      <c r="AC55" s="89"/>
      <c r="AD55" s="90"/>
      <c r="AE55" s="93"/>
      <c r="AF55" s="89"/>
      <c r="AG55" s="90"/>
      <c r="AH55" s="90"/>
    </row>
    <row r="56" spans="1:34" ht="9.75" customHeight="1">
      <c r="A56" s="6"/>
      <c r="B56" s="6"/>
      <c r="C56" s="77"/>
      <c r="D56" s="77"/>
      <c r="E56" s="78"/>
      <c r="F56" s="81" t="s">
        <v>205</v>
      </c>
      <c r="G56" s="82"/>
      <c r="H56" s="99">
        <f>IF(F56="","",pipe(N26,M27,F56,AJ46,1))</f>
      </c>
      <c r="I56" s="100"/>
      <c r="J56" s="101"/>
      <c r="K56" s="97">
        <f>IF(F56="","",cal_NZLDA(N13,R13,N18,N19,N20,N21,N22,N23,H56,H63,H64,1))</f>
      </c>
      <c r="L56" s="90"/>
      <c r="M56" s="93"/>
      <c r="N56" s="89">
        <f>IF(F56="","",cal_NZLDA(N13,R13,N18,N19,N20,N21,N22,N23,H56,H63,H64,2))</f>
      </c>
      <c r="O56" s="90"/>
      <c r="P56" s="93"/>
      <c r="Q56" s="89">
        <f>IF(F56="","",cal_NZLDA(N13,R13,N18,N19,N20,N21,N22,N23,H56,H63,H64,3))</f>
      </c>
      <c r="R56" s="90"/>
      <c r="S56" s="93"/>
      <c r="T56" s="89">
        <f>IF(F56="","",cal_NZLDA(N13,R13,N18,N19,N20,N21,N22,N23,H56,H63,H64,4))</f>
      </c>
      <c r="U56" s="90"/>
      <c r="V56" s="95"/>
      <c r="W56" s="97">
        <f>IF(F56="","",cal_NZLDA(N13,R13,N18,N19,N20,N21,N22,N23,H56,H63,H64,11))</f>
      </c>
      <c r="X56" s="90"/>
      <c r="Y56" s="93"/>
      <c r="Z56" s="89">
        <f>IF(F56="","",cal_NZLDA(N13,R13,N18,N19,N20,N21,N22,N23,H56,H63,H64,12))</f>
      </c>
      <c r="AA56" s="90"/>
      <c r="AB56" s="93"/>
      <c r="AC56" s="89">
        <f>IF(F56="","",cal_NZLDA(N13,R13,N18,N19,N20,N21,N22,N23,H56,H63,H64,13))</f>
      </c>
      <c r="AD56" s="90"/>
      <c r="AE56" s="93"/>
      <c r="AF56" s="89">
        <f>IF(F56="","",cal_NZLDA(N13,R13,N18,N19,N20,N21,N22,N23,H56,H63,H64,14))</f>
      </c>
      <c r="AG56" s="90"/>
      <c r="AH56" s="90"/>
    </row>
    <row r="57" spans="1:34" ht="9.75" customHeight="1">
      <c r="A57" s="6"/>
      <c r="B57" s="6"/>
      <c r="C57" s="85"/>
      <c r="D57" s="85"/>
      <c r="E57" s="86"/>
      <c r="F57" s="83"/>
      <c r="G57" s="84"/>
      <c r="H57" s="99"/>
      <c r="I57" s="100"/>
      <c r="J57" s="101"/>
      <c r="K57" s="97"/>
      <c r="L57" s="90"/>
      <c r="M57" s="93"/>
      <c r="N57" s="89"/>
      <c r="O57" s="90"/>
      <c r="P57" s="93"/>
      <c r="Q57" s="89"/>
      <c r="R57" s="90"/>
      <c r="S57" s="93"/>
      <c r="T57" s="89"/>
      <c r="U57" s="90"/>
      <c r="V57" s="95"/>
      <c r="W57" s="97"/>
      <c r="X57" s="90"/>
      <c r="Y57" s="93"/>
      <c r="Z57" s="89"/>
      <c r="AA57" s="90"/>
      <c r="AB57" s="93"/>
      <c r="AC57" s="89"/>
      <c r="AD57" s="90"/>
      <c r="AE57" s="93"/>
      <c r="AF57" s="89"/>
      <c r="AG57" s="90"/>
      <c r="AH57" s="90"/>
    </row>
    <row r="58" spans="1:34" ht="9.75" customHeight="1">
      <c r="A58" s="6"/>
      <c r="B58" s="6"/>
      <c r="C58" s="77"/>
      <c r="D58" s="77"/>
      <c r="E58" s="78"/>
      <c r="F58" s="81" t="s">
        <v>99</v>
      </c>
      <c r="G58" s="82"/>
      <c r="H58" s="99">
        <f>IF(F58="","",pipe(N26,M27,F58,AJ46,1))</f>
        <v>762</v>
      </c>
      <c r="I58" s="100"/>
      <c r="J58" s="101"/>
      <c r="K58" s="97">
        <f>IF(F58="","",cal_NZLDA(N13,R13,N18,N19,N20,N21,N22,N23,H58,H63,H64,1))</f>
        <v>4840.560336716308</v>
      </c>
      <c r="L58" s="90"/>
      <c r="M58" s="93"/>
      <c r="N58" s="89">
        <f>IF(F58="","",cal_NZLDA(N13,R13,N18,N19,N20,N21,N22,N23,H58,H63,H64,2))</f>
        <v>6792.559825439254</v>
      </c>
      <c r="O58" s="90"/>
      <c r="P58" s="93"/>
      <c r="Q58" s="89">
        <f>IF(F58="","",cal_NZLDA(N13,R13,N18,N19,N20,N21,N22,N23,H58,H63,H64,3))</f>
        <v>6792.559825439254</v>
      </c>
      <c r="R58" s="90"/>
      <c r="S58" s="93"/>
      <c r="T58" s="89">
        <f>IF(F58="","",cal_NZLDA(N13,R13,N18,N19,N20,N21,N22,N23,H58,H63,H64,4))</f>
        <v>10756.800748258462</v>
      </c>
      <c r="U58" s="90"/>
      <c r="V58" s="95"/>
      <c r="W58" s="97">
        <f>IF(F58="","",cal_NZLDA(N13,R13,N18,N19,N20,N21,N22,N23,H58,H63,H64,11))</f>
        <v>1875.7983412392389</v>
      </c>
      <c r="X58" s="90"/>
      <c r="Y58" s="93"/>
      <c r="Z58" s="89">
        <f>IF(F58="","",cal_NZLDA(N13,R13,N18,N19,N20,N21,N22,N23,H58,H63,H64,12))</f>
        <v>1674.3699679324602</v>
      </c>
      <c r="AA58" s="90"/>
      <c r="AB58" s="93"/>
      <c r="AC58" s="89">
        <f>IF(F58="","",cal_NZLDA(N13,R13,N18,N19,N20,N21,N22,N23,H58,H63,H64,13))</f>
        <v>2501.064454985652</v>
      </c>
      <c r="AD58" s="90"/>
      <c r="AE58" s="93"/>
      <c r="AF58" s="89">
        <f>IF(F58="","",cal_NZLDA(N13,R13,N18,N19,N20,N21,N22,N23,H58,H63,H64,14))</f>
        <v>3546.471149537622</v>
      </c>
      <c r="AG58" s="90"/>
      <c r="AH58" s="90"/>
    </row>
    <row r="59" spans="1:34" ht="9.75" customHeight="1">
      <c r="A59" s="6"/>
      <c r="B59" s="6"/>
      <c r="C59" s="79"/>
      <c r="D59" s="79"/>
      <c r="E59" s="80"/>
      <c r="F59" s="87"/>
      <c r="G59" s="88"/>
      <c r="H59" s="102"/>
      <c r="I59" s="103"/>
      <c r="J59" s="104"/>
      <c r="K59" s="98"/>
      <c r="L59" s="92"/>
      <c r="M59" s="94"/>
      <c r="N59" s="91"/>
      <c r="O59" s="92"/>
      <c r="P59" s="94"/>
      <c r="Q59" s="91"/>
      <c r="R59" s="92"/>
      <c r="S59" s="94"/>
      <c r="T59" s="91"/>
      <c r="U59" s="92"/>
      <c r="V59" s="96"/>
      <c r="W59" s="98"/>
      <c r="X59" s="92"/>
      <c r="Y59" s="94"/>
      <c r="Z59" s="91"/>
      <c r="AA59" s="92"/>
      <c r="AB59" s="94"/>
      <c r="AC59" s="91"/>
      <c r="AD59" s="92"/>
      <c r="AE59" s="94"/>
      <c r="AF59" s="91"/>
      <c r="AG59" s="92"/>
      <c r="AH59" s="92"/>
    </row>
    <row r="60" spans="1:21" ht="9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9.75" customHeight="1">
      <c r="A61" s="6"/>
      <c r="B61" s="6"/>
      <c r="C61" s="6"/>
      <c r="D61" s="15" t="s">
        <v>206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9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9.75" customHeight="1">
      <c r="A63" s="6"/>
      <c r="B63" s="6"/>
      <c r="C63" s="6"/>
      <c r="D63" s="27" t="s">
        <v>207</v>
      </c>
      <c r="E63" s="7" t="s">
        <v>229</v>
      </c>
      <c r="F63" s="6"/>
      <c r="G63" s="6" t="s">
        <v>47</v>
      </c>
      <c r="H63" s="138">
        <v>45</v>
      </c>
      <c r="I63" s="138"/>
      <c r="J63" s="6" t="s">
        <v>233</v>
      </c>
      <c r="K63" s="7" t="s">
        <v>231</v>
      </c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9.75" customHeight="1">
      <c r="A64" s="6"/>
      <c r="B64" s="6"/>
      <c r="C64" s="6"/>
      <c r="D64" s="27" t="s">
        <v>191</v>
      </c>
      <c r="E64" s="7" t="s">
        <v>230</v>
      </c>
      <c r="F64" s="6"/>
      <c r="G64" s="6" t="s">
        <v>47</v>
      </c>
      <c r="H64" s="138">
        <v>75</v>
      </c>
      <c r="I64" s="138"/>
      <c r="J64" s="6" t="s">
        <v>234</v>
      </c>
      <c r="K64" s="7" t="s">
        <v>235</v>
      </c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9.75" customHeight="1">
      <c r="A65" s="6"/>
      <c r="B65" s="6"/>
      <c r="C65" s="6"/>
      <c r="D65" s="27" t="s">
        <v>236</v>
      </c>
      <c r="E65" s="7" t="s">
        <v>227</v>
      </c>
      <c r="F65" s="6"/>
      <c r="G65" s="6" t="s">
        <v>91</v>
      </c>
      <c r="H65" s="6" t="s">
        <v>248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9.75" customHeight="1">
      <c r="A66" s="6"/>
      <c r="B66" s="6"/>
      <c r="C66" s="6"/>
      <c r="D66" s="27" t="s">
        <v>237</v>
      </c>
      <c r="E66" s="7" t="s">
        <v>232</v>
      </c>
      <c r="F66" s="6"/>
      <c r="G66" s="6" t="s">
        <v>91</v>
      </c>
      <c r="H66" s="6" t="s">
        <v>218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9.75" customHeight="1">
      <c r="A67" s="6"/>
      <c r="B67" s="6"/>
      <c r="C67" s="6"/>
      <c r="D67" s="27" t="s">
        <v>238</v>
      </c>
      <c r="E67" s="6" t="s">
        <v>239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9.75" customHeight="1">
      <c r="A68" s="6"/>
      <c r="B68" s="6"/>
      <c r="C68" s="6"/>
      <c r="D68" s="6"/>
      <c r="E68" s="105" t="s">
        <v>105</v>
      </c>
      <c r="F68" s="105"/>
      <c r="G68" s="59" t="s">
        <v>240</v>
      </c>
      <c r="H68" s="105" t="s">
        <v>106</v>
      </c>
      <c r="I68" s="105"/>
      <c r="J68" s="139" t="s">
        <v>241</v>
      </c>
      <c r="K68" s="140">
        <v>1</v>
      </c>
      <c r="L68" s="140"/>
      <c r="M68" s="6"/>
      <c r="N68" s="6"/>
      <c r="O68" s="6"/>
      <c r="P68" s="6"/>
      <c r="Q68" s="6"/>
      <c r="R68" s="6"/>
      <c r="S68" s="6"/>
      <c r="T68" s="6"/>
      <c r="U68" s="6"/>
    </row>
    <row r="69" spans="1:21" ht="9.75" customHeight="1">
      <c r="A69" s="6"/>
      <c r="B69" s="6"/>
      <c r="C69" s="6"/>
      <c r="D69" s="6"/>
      <c r="E69" s="72" t="s">
        <v>227</v>
      </c>
      <c r="F69" s="72"/>
      <c r="G69" s="59"/>
      <c r="H69" s="72" t="s">
        <v>232</v>
      </c>
      <c r="I69" s="72"/>
      <c r="J69" s="59"/>
      <c r="K69" s="140"/>
      <c r="L69" s="140"/>
      <c r="M69" s="6"/>
      <c r="N69" s="6"/>
      <c r="O69" s="6"/>
      <c r="P69" s="6"/>
      <c r="Q69" s="6"/>
      <c r="R69" s="6"/>
      <c r="S69" s="6"/>
      <c r="T69" s="6"/>
      <c r="U69" s="6"/>
    </row>
    <row r="70" spans="1:21" ht="9.75" customHeight="1">
      <c r="A70" s="6"/>
      <c r="B70" s="6"/>
      <c r="C70" s="6"/>
      <c r="D70" s="6"/>
      <c r="E70" s="6" t="s">
        <v>242</v>
      </c>
      <c r="F70" s="6"/>
      <c r="G70" s="6"/>
      <c r="H70" s="7" t="s">
        <v>247</v>
      </c>
      <c r="I70" s="6"/>
      <c r="J70" s="6" t="s">
        <v>243</v>
      </c>
      <c r="K70" s="6"/>
      <c r="L70" s="6"/>
      <c r="M70" s="6"/>
      <c r="N70" s="6"/>
      <c r="O70" s="6"/>
      <c r="P70" s="6"/>
      <c r="Q70" s="6" t="s">
        <v>249</v>
      </c>
      <c r="R70" s="6"/>
      <c r="S70" s="6"/>
      <c r="T70" s="6"/>
      <c r="U70" s="6"/>
    </row>
    <row r="71" spans="1:21" ht="9.75" customHeight="1">
      <c r="A71" s="6"/>
      <c r="B71" s="6"/>
      <c r="C71" s="6"/>
      <c r="D71" s="6"/>
      <c r="E71" s="6"/>
      <c r="F71" s="6"/>
      <c r="G71" s="6"/>
      <c r="H71" s="7" t="s">
        <v>246</v>
      </c>
      <c r="I71" s="6"/>
      <c r="J71" s="6" t="s">
        <v>244</v>
      </c>
      <c r="K71" s="6"/>
      <c r="L71" s="6"/>
      <c r="M71" s="6"/>
      <c r="N71" s="6"/>
      <c r="O71" s="6"/>
      <c r="P71" s="6"/>
      <c r="Q71" s="6" t="s">
        <v>245</v>
      </c>
      <c r="R71" s="6"/>
      <c r="S71" s="6"/>
      <c r="T71" s="6"/>
      <c r="U71" s="6"/>
    </row>
    <row r="72" spans="1:21" ht="9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9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8" ht="9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34" ht="9.75" customHeight="1">
      <c r="A75" s="12" t="s">
        <v>7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13" t="s">
        <v>8</v>
      </c>
    </row>
    <row r="117" ht="13.5" customHeight="1"/>
    <row r="118" ht="13.5" customHeight="1"/>
  </sheetData>
  <mergeCells count="124">
    <mergeCell ref="K68:L69"/>
    <mergeCell ref="E68:F68"/>
    <mergeCell ref="H68:I68"/>
    <mergeCell ref="E69:F69"/>
    <mergeCell ref="H69:I69"/>
    <mergeCell ref="H63:I63"/>
    <mergeCell ref="H64:I64"/>
    <mergeCell ref="G68:G69"/>
    <mergeCell ref="J68:J69"/>
    <mergeCell ref="A1:AH3"/>
    <mergeCell ref="AC5:AG5"/>
    <mergeCell ref="AC6:AD6"/>
    <mergeCell ref="AF6:AG6"/>
    <mergeCell ref="AC52:AE53"/>
    <mergeCell ref="AF52:AH53"/>
    <mergeCell ref="AC50:AE51"/>
    <mergeCell ref="AF50:AH51"/>
    <mergeCell ref="Q44:S44"/>
    <mergeCell ref="T44:V44"/>
    <mergeCell ref="AC48:AE49"/>
    <mergeCell ref="AF48:AH49"/>
    <mergeCell ref="T48:V49"/>
    <mergeCell ref="W48:Y49"/>
    <mergeCell ref="Z48:AB49"/>
    <mergeCell ref="AC7:AG7"/>
    <mergeCell ref="AC46:AE47"/>
    <mergeCell ref="AF46:AH47"/>
    <mergeCell ref="W43:AH43"/>
    <mergeCell ref="W44:Y44"/>
    <mergeCell ref="Z44:AB44"/>
    <mergeCell ref="AC44:AE44"/>
    <mergeCell ref="AF44:AH44"/>
    <mergeCell ref="C50:E51"/>
    <mergeCell ref="W46:Y47"/>
    <mergeCell ref="Z46:AB47"/>
    <mergeCell ref="W45:AH45"/>
    <mergeCell ref="K45:V45"/>
    <mergeCell ref="T46:V47"/>
    <mergeCell ref="Q46:S47"/>
    <mergeCell ref="H45:J45"/>
    <mergeCell ref="H50:J51"/>
    <mergeCell ref="K50:M51"/>
    <mergeCell ref="H44:J44"/>
    <mergeCell ref="K44:M44"/>
    <mergeCell ref="N44:P44"/>
    <mergeCell ref="H46:J47"/>
    <mergeCell ref="K46:M47"/>
    <mergeCell ref="N46:P47"/>
    <mergeCell ref="N13:P13"/>
    <mergeCell ref="N14:P14"/>
    <mergeCell ref="N16:P16"/>
    <mergeCell ref="N17:P17"/>
    <mergeCell ref="N18:P18"/>
    <mergeCell ref="N19:P19"/>
    <mergeCell ref="N20:P20"/>
    <mergeCell ref="N21:P21"/>
    <mergeCell ref="N22:P22"/>
    <mergeCell ref="N23:P23"/>
    <mergeCell ref="C43:E43"/>
    <mergeCell ref="F43:J43"/>
    <mergeCell ref="N24:P24"/>
    <mergeCell ref="K43:V43"/>
    <mergeCell ref="C44:E44"/>
    <mergeCell ref="F44:G44"/>
    <mergeCell ref="N48:P49"/>
    <mergeCell ref="Q48:S49"/>
    <mergeCell ref="H48:J49"/>
    <mergeCell ref="C45:E45"/>
    <mergeCell ref="F45:G45"/>
    <mergeCell ref="C46:E47"/>
    <mergeCell ref="C48:E49"/>
    <mergeCell ref="F46:G47"/>
    <mergeCell ref="H52:J53"/>
    <mergeCell ref="K52:M53"/>
    <mergeCell ref="N52:P53"/>
    <mergeCell ref="Q52:S53"/>
    <mergeCell ref="T52:V53"/>
    <mergeCell ref="W52:Y53"/>
    <mergeCell ref="Z52:AB53"/>
    <mergeCell ref="K48:M49"/>
    <mergeCell ref="W50:Y51"/>
    <mergeCell ref="Z50:AB51"/>
    <mergeCell ref="N50:P51"/>
    <mergeCell ref="Q50:S51"/>
    <mergeCell ref="T50:V51"/>
    <mergeCell ref="T56:V57"/>
    <mergeCell ref="W56:Y57"/>
    <mergeCell ref="Z56:AB57"/>
    <mergeCell ref="Q54:S55"/>
    <mergeCell ref="T54:V55"/>
    <mergeCell ref="H56:J57"/>
    <mergeCell ref="K56:M57"/>
    <mergeCell ref="N56:P57"/>
    <mergeCell ref="Q56:S57"/>
    <mergeCell ref="H58:J59"/>
    <mergeCell ref="K58:M59"/>
    <mergeCell ref="N58:P59"/>
    <mergeCell ref="AC54:AE55"/>
    <mergeCell ref="W54:Y55"/>
    <mergeCell ref="Z54:AB55"/>
    <mergeCell ref="H54:J55"/>
    <mergeCell ref="K54:M55"/>
    <mergeCell ref="N54:P55"/>
    <mergeCell ref="AC58:AE59"/>
    <mergeCell ref="AF58:AH59"/>
    <mergeCell ref="N26:P26"/>
    <mergeCell ref="M27:P27"/>
    <mergeCell ref="AC56:AE57"/>
    <mergeCell ref="AF56:AH57"/>
    <mergeCell ref="Q58:S59"/>
    <mergeCell ref="T58:V59"/>
    <mergeCell ref="W58:Y59"/>
    <mergeCell ref="Z58:AB59"/>
    <mergeCell ref="AF54:AH55"/>
    <mergeCell ref="C58:E59"/>
    <mergeCell ref="F48:G49"/>
    <mergeCell ref="C52:E53"/>
    <mergeCell ref="C54:E55"/>
    <mergeCell ref="C56:E57"/>
    <mergeCell ref="F52:G53"/>
    <mergeCell ref="F54:G55"/>
    <mergeCell ref="F56:G57"/>
    <mergeCell ref="F58:G59"/>
    <mergeCell ref="F50:G51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AV73"/>
  <sheetViews>
    <sheetView tabSelected="1" zoomScaleSheetLayoutView="100" workbookViewId="0" topLeftCell="A1">
      <selection activeCell="X5" sqref="X5"/>
    </sheetView>
  </sheetViews>
  <sheetFormatPr defaultColWidth="8.88671875" defaultRowHeight="13.5"/>
  <cols>
    <col min="1" max="52" width="2.3359375" style="3" customWidth="1"/>
    <col min="53" max="16384" width="8.88671875" style="3" customWidth="1"/>
  </cols>
  <sheetData>
    <row r="1" spans="1:34" ht="9.75" customHeight="1">
      <c r="A1" s="69" t="s">
        <v>250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4" ht="9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9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ht="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H4" s="6"/>
    </row>
    <row r="5" spans="1:33" ht="9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Z5" s="6" t="s">
        <v>251</v>
      </c>
      <c r="AC5" s="68" t="s">
        <v>252</v>
      </c>
      <c r="AD5" s="68"/>
      <c r="AE5" s="68"/>
      <c r="AF5" s="68"/>
      <c r="AG5" s="68"/>
    </row>
    <row r="6" spans="1:33" ht="9.75" customHeight="1">
      <c r="A6" s="6"/>
      <c r="B6" s="6"/>
      <c r="C6" s="6" t="s">
        <v>131</v>
      </c>
      <c r="D6" s="6"/>
      <c r="E6" s="6"/>
      <c r="F6" s="6" t="s">
        <v>135</v>
      </c>
      <c r="G6" s="44" t="s">
        <v>344</v>
      </c>
      <c r="H6" s="6"/>
      <c r="I6" s="6"/>
      <c r="J6" s="6"/>
      <c r="K6" s="6"/>
      <c r="L6" s="6"/>
      <c r="M6" s="6"/>
      <c r="N6" s="6"/>
      <c r="O6" s="6"/>
      <c r="P6" s="6"/>
      <c r="Z6" s="6" t="s">
        <v>253</v>
      </c>
      <c r="AC6" s="68">
        <v>1</v>
      </c>
      <c r="AD6" s="68"/>
      <c r="AE6" s="8" t="s">
        <v>254</v>
      </c>
      <c r="AF6" s="68">
        <v>1</v>
      </c>
      <c r="AG6" s="68"/>
    </row>
    <row r="7" spans="1:34" ht="9.75" customHeight="1">
      <c r="A7" s="6"/>
      <c r="B7" s="6"/>
      <c r="C7" s="6" t="s">
        <v>132</v>
      </c>
      <c r="D7" s="6"/>
      <c r="E7" s="6"/>
      <c r="F7" s="6" t="s">
        <v>135</v>
      </c>
      <c r="G7" s="1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3" t="s">
        <v>257</v>
      </c>
      <c r="AC7" s="68" t="s">
        <v>309</v>
      </c>
      <c r="AD7" s="68"/>
      <c r="AE7" s="68"/>
      <c r="AF7" s="68"/>
      <c r="AG7" s="68"/>
      <c r="AH7" s="6"/>
    </row>
    <row r="8" spans="1:33" ht="9.75" customHeight="1">
      <c r="A8" s="6"/>
      <c r="B8" s="6"/>
      <c r="C8" s="6" t="s">
        <v>342</v>
      </c>
      <c r="D8" s="6"/>
      <c r="E8" s="6"/>
      <c r="F8" s="6" t="s">
        <v>135</v>
      </c>
      <c r="G8" s="11" t="s">
        <v>343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 t="s">
        <v>258</v>
      </c>
      <c r="AC8" s="8">
        <v>0</v>
      </c>
      <c r="AD8" s="43"/>
      <c r="AE8" s="43"/>
      <c r="AF8" s="43"/>
      <c r="AG8" s="43"/>
    </row>
    <row r="9" spans="1:28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5" ht="9.75" customHeight="1">
      <c r="A11" s="6"/>
      <c r="B11" s="6"/>
      <c r="C11" s="24" t="s">
        <v>255</v>
      </c>
      <c r="D11" s="11" t="s">
        <v>256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Y11" s="6"/>
    </row>
    <row r="12" spans="1:25" ht="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Y12" s="6"/>
    </row>
    <row r="13" spans="1:21" ht="9.75" customHeight="1">
      <c r="A13" s="6"/>
      <c r="B13" s="6"/>
      <c r="C13" s="6"/>
      <c r="D13" s="7" t="s">
        <v>308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9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8" ht="9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30" ht="9.75" customHeight="1">
      <c r="A16" s="6"/>
      <c r="B16" s="6"/>
      <c r="C16" s="24" t="s">
        <v>259</v>
      </c>
      <c r="D16" s="11" t="s">
        <v>260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AA16" s="6"/>
      <c r="AB16" s="6"/>
      <c r="AC16" s="6"/>
      <c r="AD16" s="6"/>
    </row>
    <row r="17" spans="1:30" ht="9.75" customHeight="1">
      <c r="A17" s="6"/>
      <c r="B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AA17" s="6"/>
      <c r="AB17" s="6"/>
      <c r="AC17" s="6"/>
      <c r="AD17" s="6"/>
    </row>
    <row r="18" spans="1:31" s="2" customFormat="1" ht="9.75" customHeight="1">
      <c r="A18" s="6"/>
      <c r="B18" s="6"/>
      <c r="C18" s="3"/>
      <c r="D18" s="7" t="s">
        <v>261</v>
      </c>
      <c r="E18" s="6"/>
      <c r="F18" s="6"/>
      <c r="G18" s="6"/>
      <c r="H18" s="6"/>
      <c r="I18" s="6"/>
      <c r="J18" s="6"/>
      <c r="K18" s="6"/>
      <c r="M18" s="6"/>
      <c r="N18" s="63">
        <v>10.5</v>
      </c>
      <c r="O18" s="63"/>
      <c r="P18" s="63"/>
      <c r="Q18" s="6"/>
      <c r="R18" s="6" t="s">
        <v>29</v>
      </c>
      <c r="S18" s="6"/>
      <c r="T18" s="6"/>
      <c r="U18" s="6"/>
      <c r="V18" s="6"/>
      <c r="W18" s="3"/>
      <c r="X18" s="3"/>
      <c r="Y18" s="3"/>
      <c r="Z18" s="3"/>
      <c r="AA18" s="3"/>
      <c r="AB18" s="7"/>
      <c r="AD18" s="5"/>
      <c r="AE18" s="3"/>
    </row>
    <row r="19" spans="1:31" s="2" customFormat="1" ht="9.75" customHeight="1">
      <c r="A19" s="6"/>
      <c r="B19" s="6"/>
      <c r="C19" s="3"/>
      <c r="D19" s="7" t="s">
        <v>262</v>
      </c>
      <c r="E19" s="6"/>
      <c r="F19" s="6"/>
      <c r="G19" s="6"/>
      <c r="H19" s="6"/>
      <c r="I19" s="6"/>
      <c r="J19" s="6"/>
      <c r="K19" s="6"/>
      <c r="M19" s="6"/>
      <c r="N19" s="63">
        <v>240</v>
      </c>
      <c r="O19" s="63"/>
      <c r="P19" s="63"/>
      <c r="Q19" s="6"/>
      <c r="R19" s="6" t="s">
        <v>41</v>
      </c>
      <c r="S19" s="6"/>
      <c r="T19" s="6"/>
      <c r="U19" s="6"/>
      <c r="V19" s="6"/>
      <c r="W19" s="3"/>
      <c r="X19" s="3"/>
      <c r="Y19" s="3"/>
      <c r="Z19" s="3"/>
      <c r="AA19" s="3"/>
      <c r="AB19" s="6"/>
      <c r="AD19" s="5"/>
      <c r="AE19" s="3"/>
    </row>
    <row r="20" spans="1:30" ht="9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AA20" s="6"/>
      <c r="AB20" s="6"/>
      <c r="AC20" s="6"/>
      <c r="AD20" s="6"/>
    </row>
    <row r="21" spans="1:30" ht="9.75" customHeight="1">
      <c r="A21" s="6"/>
      <c r="B21" s="6"/>
      <c r="D21" s="9" t="s">
        <v>264</v>
      </c>
      <c r="E21" s="6"/>
      <c r="F21" s="6"/>
      <c r="G21" s="6"/>
      <c r="H21" s="6"/>
      <c r="I21" s="6"/>
      <c r="J21" s="6"/>
      <c r="K21" s="6"/>
      <c r="L21" s="6"/>
      <c r="M21" s="6"/>
      <c r="N21" s="62" t="s">
        <v>34</v>
      </c>
      <c r="O21" s="62"/>
      <c r="P21" s="62"/>
      <c r="Q21" s="6"/>
      <c r="R21" s="6"/>
      <c r="AA21" s="6"/>
      <c r="AB21" s="6"/>
      <c r="AC21" s="6"/>
      <c r="AD21" s="6"/>
    </row>
    <row r="22" spans="1:30" ht="9.75" customHeight="1">
      <c r="A22" s="6"/>
      <c r="B22" s="6"/>
      <c r="C22" s="6"/>
      <c r="D22" s="6" t="s">
        <v>265</v>
      </c>
      <c r="E22" s="6"/>
      <c r="F22" s="6"/>
      <c r="G22" s="6"/>
      <c r="H22" s="6"/>
      <c r="I22" s="6"/>
      <c r="J22" s="6"/>
      <c r="K22" s="6"/>
      <c r="L22" s="6"/>
      <c r="M22" s="62" t="s">
        <v>35</v>
      </c>
      <c r="N22" s="62"/>
      <c r="O22" s="62"/>
      <c r="P22" s="62"/>
      <c r="Q22" s="6"/>
      <c r="AA22" s="6"/>
      <c r="AB22" s="6"/>
      <c r="AC22" s="6"/>
      <c r="AD22" s="6"/>
    </row>
    <row r="23" spans="1:30" ht="9.75" customHeight="1">
      <c r="A23" s="6"/>
      <c r="B23" s="6"/>
      <c r="C23" s="6"/>
      <c r="D23" s="6" t="s">
        <v>263</v>
      </c>
      <c r="E23" s="6"/>
      <c r="F23" s="6"/>
      <c r="G23" s="6"/>
      <c r="H23" s="6"/>
      <c r="I23" s="6"/>
      <c r="J23" s="6"/>
      <c r="K23" s="6"/>
      <c r="L23" s="6"/>
      <c r="M23" s="6"/>
      <c r="N23" s="61">
        <f>stress(N21,"pipe",M22,N19,R19,R18,3)</f>
        <v>1202.2489811829626</v>
      </c>
      <c r="O23" s="61"/>
      <c r="P23" s="61"/>
      <c r="Q23" s="6"/>
      <c r="R23" s="3" t="str">
        <f>upsx(R18)</f>
        <v>kg/cm2</v>
      </c>
      <c r="AA23" s="6"/>
      <c r="AB23" s="6"/>
      <c r="AC23" s="6"/>
      <c r="AD23" s="6"/>
    </row>
    <row r="24" spans="1:28" ht="9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9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1" ht="9.75" customHeight="1">
      <c r="A26" s="6"/>
      <c r="B26" s="6"/>
      <c r="C26" s="24" t="s">
        <v>266</v>
      </c>
      <c r="D26" s="11" t="s">
        <v>267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9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9.75" customHeight="1">
      <c r="A28" s="6"/>
      <c r="B28" s="6"/>
      <c r="C28" s="6"/>
      <c r="D28" s="7" t="s">
        <v>268</v>
      </c>
      <c r="E28" s="6"/>
      <c r="F28" s="6"/>
      <c r="G28" s="6" t="s">
        <v>269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9.75" customHeight="1">
      <c r="A29" s="6"/>
      <c r="B29" s="6"/>
      <c r="C29" s="6"/>
      <c r="D29" s="7" t="s">
        <v>270</v>
      </c>
      <c r="E29" s="6"/>
      <c r="F29" s="6"/>
      <c r="G29" s="6" t="s">
        <v>271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9.75" customHeight="1">
      <c r="A30" s="6"/>
      <c r="B30" s="6"/>
      <c r="C30" s="6"/>
      <c r="D30" s="7" t="s">
        <v>272</v>
      </c>
      <c r="E30" s="6"/>
      <c r="F30" s="6"/>
      <c r="G30" s="6" t="s">
        <v>273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9.75" customHeight="1">
      <c r="A31" s="6"/>
      <c r="B31" s="6"/>
      <c r="C31" s="6"/>
      <c r="D31" s="7" t="s">
        <v>274</v>
      </c>
      <c r="E31" s="6"/>
      <c r="F31" s="6"/>
      <c r="G31" s="6" t="s">
        <v>275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9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9.75" customHeight="1">
      <c r="A33" s="6"/>
      <c r="B33" s="6"/>
      <c r="C33" s="6"/>
      <c r="D33" s="7" t="s">
        <v>276</v>
      </c>
      <c r="E33" s="6"/>
      <c r="F33" s="6"/>
      <c r="G33" s="6" t="s">
        <v>277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9.75" customHeight="1">
      <c r="A34" s="6"/>
      <c r="B34" s="6"/>
      <c r="C34" s="6"/>
      <c r="D34" s="7" t="s">
        <v>278</v>
      </c>
      <c r="E34" s="6"/>
      <c r="F34" s="6"/>
      <c r="G34" s="6" t="s">
        <v>279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9.75" customHeight="1">
      <c r="A35" s="6"/>
      <c r="B35" s="6"/>
      <c r="C35" s="6"/>
      <c r="D35" s="7" t="s">
        <v>280</v>
      </c>
      <c r="E35" s="6"/>
      <c r="F35" s="6"/>
      <c r="G35" s="6" t="s">
        <v>281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9.75" customHeight="1">
      <c r="A36" s="6"/>
      <c r="B36" s="6"/>
      <c r="C36" s="6"/>
      <c r="D36" s="7" t="s">
        <v>282</v>
      </c>
      <c r="E36" s="6"/>
      <c r="F36" s="6"/>
      <c r="G36" s="6" t="s">
        <v>283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9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8" ht="9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1" ht="9.75" customHeight="1">
      <c r="A39" s="6"/>
      <c r="B39" s="6"/>
      <c r="C39" s="24" t="s">
        <v>284</v>
      </c>
      <c r="D39" s="11" t="s">
        <v>285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9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34" ht="9.75" customHeight="1">
      <c r="A41" s="6"/>
      <c r="B41" s="6"/>
      <c r="C41" s="72" t="s">
        <v>264</v>
      </c>
      <c r="D41" s="72"/>
      <c r="E41" s="115"/>
      <c r="F41" s="116" t="s">
        <v>264</v>
      </c>
      <c r="G41" s="72"/>
      <c r="H41" s="72"/>
      <c r="I41" s="72"/>
      <c r="J41" s="115"/>
      <c r="K41" s="116" t="s">
        <v>286</v>
      </c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115"/>
      <c r="W41" s="72" t="s">
        <v>287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45" ht="9.75" customHeight="1">
      <c r="A42" s="6"/>
      <c r="B42" s="6"/>
      <c r="C42" s="105" t="s">
        <v>288</v>
      </c>
      <c r="D42" s="105"/>
      <c r="E42" s="106"/>
      <c r="F42" s="107" t="s">
        <v>289</v>
      </c>
      <c r="G42" s="108"/>
      <c r="H42" s="117" t="s">
        <v>290</v>
      </c>
      <c r="I42" s="118"/>
      <c r="J42" s="119"/>
      <c r="K42" s="120" t="s">
        <v>268</v>
      </c>
      <c r="L42" s="121"/>
      <c r="M42" s="121"/>
      <c r="N42" s="121" t="s">
        <v>270</v>
      </c>
      <c r="O42" s="121"/>
      <c r="P42" s="121"/>
      <c r="Q42" s="121" t="s">
        <v>272</v>
      </c>
      <c r="R42" s="121"/>
      <c r="S42" s="136"/>
      <c r="T42" s="120" t="s">
        <v>291</v>
      </c>
      <c r="U42" s="121"/>
      <c r="V42" s="137"/>
      <c r="W42" s="120" t="s">
        <v>276</v>
      </c>
      <c r="X42" s="121"/>
      <c r="Y42" s="121"/>
      <c r="Z42" s="121" t="s">
        <v>278</v>
      </c>
      <c r="AA42" s="121"/>
      <c r="AB42" s="121"/>
      <c r="AC42" s="121" t="s">
        <v>280</v>
      </c>
      <c r="AD42" s="121"/>
      <c r="AE42" s="136"/>
      <c r="AF42" s="120" t="s">
        <v>292</v>
      </c>
      <c r="AG42" s="121"/>
      <c r="AH42" s="136"/>
      <c r="AJ42" s="148" t="s">
        <v>330</v>
      </c>
      <c r="AK42" s="148"/>
      <c r="AL42" s="148" t="s">
        <v>317</v>
      </c>
      <c r="AM42" s="148"/>
      <c r="AN42" s="148" t="s">
        <v>331</v>
      </c>
      <c r="AO42" s="148"/>
      <c r="AP42" s="148" t="s">
        <v>332</v>
      </c>
      <c r="AQ42" s="148"/>
      <c r="AS42" s="30" t="s">
        <v>328</v>
      </c>
    </row>
    <row r="43" spans="1:34" ht="9.75" customHeight="1">
      <c r="A43" s="6"/>
      <c r="B43" s="6"/>
      <c r="C43" s="105"/>
      <c r="D43" s="105"/>
      <c r="E43" s="106"/>
      <c r="F43" s="109" t="s">
        <v>335</v>
      </c>
      <c r="G43" s="110"/>
      <c r="H43" s="133" t="s">
        <v>310</v>
      </c>
      <c r="I43" s="134"/>
      <c r="J43" s="135"/>
      <c r="K43" s="129" t="str">
        <f>upsForce(R18)</f>
        <v>kgf</v>
      </c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1"/>
      <c r="W43" s="129" t="str">
        <f>upsMoment(R18)</f>
        <v>kgf.m</v>
      </c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</row>
    <row r="44" spans="1:48" ht="12" customHeight="1">
      <c r="A44" s="6"/>
      <c r="B44" s="6"/>
      <c r="C44" s="111" t="s">
        <v>293</v>
      </c>
      <c r="D44" s="111"/>
      <c r="E44" s="112"/>
      <c r="F44" s="146" t="s">
        <v>214</v>
      </c>
      <c r="G44" s="147"/>
      <c r="H44" s="141">
        <f>IF(F44="","",pipe(N21,M22,F44,F45,1))</f>
        <v>114.3</v>
      </c>
      <c r="I44" s="142"/>
      <c r="J44" s="143"/>
      <c r="K44" s="125">
        <f>IF(F44="","",T44*H63/100)</f>
        <v>605.4000125757927</v>
      </c>
      <c r="L44" s="126"/>
      <c r="M44" s="127"/>
      <c r="N44" s="128">
        <f>IF(F44="","",((T44^2-K44^2)/2)^0.5)</f>
        <v>849.5330122322893</v>
      </c>
      <c r="O44" s="126"/>
      <c r="P44" s="127"/>
      <c r="Q44" s="128">
        <f>IF(F44="","",N44)</f>
        <v>849.5330122322893</v>
      </c>
      <c r="R44" s="126"/>
      <c r="S44" s="126"/>
      <c r="T44" s="125">
        <f>IF(F44="","",AP44*AS44*H45*N23/AL44)</f>
        <v>1345.3333612795395</v>
      </c>
      <c r="U44" s="126"/>
      <c r="V44" s="132"/>
      <c r="W44" s="125">
        <f>IF(F44="","",AF44*H64/100)</f>
        <v>552.3560431535436</v>
      </c>
      <c r="X44" s="126"/>
      <c r="Y44" s="127"/>
      <c r="Z44" s="128">
        <f>IF(F44="","",((AF44^2-W44^2)/2)^0.5)</f>
        <v>344.45451149911383</v>
      </c>
      <c r="AA44" s="126"/>
      <c r="AB44" s="127"/>
      <c r="AC44" s="128">
        <f>IF(F44="","",Z44)</f>
        <v>344.45451149911383</v>
      </c>
      <c r="AD44" s="126"/>
      <c r="AE44" s="126"/>
      <c r="AF44" s="125">
        <f>IF(F44="","",(AP44*AU44)^2*H45*N23/AN44)</f>
        <v>736.4747242047249</v>
      </c>
      <c r="AG44" s="126"/>
      <c r="AH44" s="126"/>
      <c r="AJ44" s="3" t="str">
        <f>IF(F44="","*",IF(OR(N21="ASTM",N21="ASME"),F44,npsconv(N21,F44,1)))</f>
        <v>4"</v>
      </c>
      <c r="AK44" s="3">
        <f>IF(F44="","*",npsconv("ASTM",AJ44,2))</f>
        <v>4</v>
      </c>
      <c r="AL44" s="57">
        <f>IF(F44="","",IF(AK44&lt;=AK63,AK64,IF(AK44&lt;=AM63,AM64,AO64)))</f>
        <v>9</v>
      </c>
      <c r="AM44" s="57"/>
      <c r="AN44" s="57">
        <f>IF(F44="","",IF(AK44&lt;=AK63,AK65,IF(AK44&lt;=AM63,AM65,AO65)))</f>
        <v>25</v>
      </c>
      <c r="AO44" s="57"/>
      <c r="AP44" s="57">
        <f>IF(F44="","",IF(AK44&lt;=AK63,AK44+1,IF(AK44&lt;=AM63,AK44,(AK44+16)/3)))</f>
        <v>5</v>
      </c>
      <c r="AQ44" s="57"/>
      <c r="AS44" s="68">
        <v>0.3346</v>
      </c>
      <c r="AT44" s="68"/>
      <c r="AU44" s="68">
        <v>0.319</v>
      </c>
      <c r="AV44" s="68"/>
    </row>
    <row r="45" spans="1:34" ht="12" customHeight="1">
      <c r="A45" s="6"/>
      <c r="B45" s="6"/>
      <c r="C45" s="170"/>
      <c r="D45" s="170"/>
      <c r="E45" s="171"/>
      <c r="F45" s="149" t="s">
        <v>329</v>
      </c>
      <c r="G45" s="150"/>
      <c r="H45" s="102">
        <f>IF(F44="","",pipe(N21,M22,F44,F45,2))</f>
        <v>6.019799999999999</v>
      </c>
      <c r="I45" s="103"/>
      <c r="J45" s="104"/>
      <c r="K45" s="168"/>
      <c r="L45" s="165"/>
      <c r="M45" s="169"/>
      <c r="N45" s="164"/>
      <c r="O45" s="165"/>
      <c r="P45" s="169"/>
      <c r="Q45" s="164"/>
      <c r="R45" s="165"/>
      <c r="S45" s="165"/>
      <c r="T45" s="168"/>
      <c r="U45" s="165"/>
      <c r="V45" s="172"/>
      <c r="W45" s="168"/>
      <c r="X45" s="165"/>
      <c r="Y45" s="169"/>
      <c r="Z45" s="164"/>
      <c r="AA45" s="165"/>
      <c r="AB45" s="169"/>
      <c r="AC45" s="164"/>
      <c r="AD45" s="165"/>
      <c r="AE45" s="165"/>
      <c r="AF45" s="168"/>
      <c r="AG45" s="165"/>
      <c r="AH45" s="165"/>
    </row>
    <row r="46" spans="1:48" ht="12" customHeight="1">
      <c r="A46" s="6"/>
      <c r="B46" s="6"/>
      <c r="C46" s="111"/>
      <c r="D46" s="111"/>
      <c r="E46" s="112"/>
      <c r="F46" s="146" t="s">
        <v>215</v>
      </c>
      <c r="G46" s="147"/>
      <c r="H46" s="141">
        <f>IF(F46="","",pipe(N21,M22,F46,F47,1))</f>
        <v>219.075</v>
      </c>
      <c r="I46" s="142"/>
      <c r="J46" s="143"/>
      <c r="K46" s="125">
        <f>IF(F46="","",T46*H63/100)</f>
        <v>1677.674650262031</v>
      </c>
      <c r="L46" s="126"/>
      <c r="M46" s="127"/>
      <c r="N46" s="128">
        <f>IF(F46="","",((T46^2-K46^2)/2)^0.5)</f>
        <v>2354.212040926285</v>
      </c>
      <c r="O46" s="126"/>
      <c r="P46" s="127"/>
      <c r="Q46" s="128">
        <f>IF(F46="","",N46)</f>
        <v>2354.212040926285</v>
      </c>
      <c r="R46" s="126"/>
      <c r="S46" s="126"/>
      <c r="T46" s="125">
        <f>IF(F46="","",AP46*AS46*H47*N23/AL46)</f>
        <v>3728.1658894711804</v>
      </c>
      <c r="U46" s="126"/>
      <c r="V46" s="132"/>
      <c r="W46" s="125">
        <f>IF(F46="","",AF46*H64/100)</f>
        <v>2041.1958765824093</v>
      </c>
      <c r="X46" s="126"/>
      <c r="Y46" s="127"/>
      <c r="Z46" s="128">
        <f>IF(F46="","",((AF46^2-W46^2)/2)^0.5)</f>
        <v>1272.9092715778472</v>
      </c>
      <c r="AA46" s="126"/>
      <c r="AB46" s="127"/>
      <c r="AC46" s="128">
        <f>IF(F46="","",Z46)</f>
        <v>1272.9092715778472</v>
      </c>
      <c r="AD46" s="126"/>
      <c r="AE46" s="126"/>
      <c r="AF46" s="125">
        <f>IF(F46="","",(AP46*AU46)^2*H47*N23/AN46)</f>
        <v>2721.594502109879</v>
      </c>
      <c r="AG46" s="126"/>
      <c r="AH46" s="126"/>
      <c r="AJ46" s="3" t="str">
        <f>IF(F46="","*",IF(OR(N21="ASTM",N21="ASME"),F46,npsconv(N21,F46,1)))</f>
        <v>8"</v>
      </c>
      <c r="AK46" s="3">
        <f>IF(F46="","*",npsconv("ASTM",AJ46,2))</f>
        <v>8</v>
      </c>
      <c r="AL46" s="57">
        <f>IF(F46="","",IF(AK46&lt;=AK63,AK64,IF(AK46&lt;=AM63,AM64,AO64)))</f>
        <v>7.06</v>
      </c>
      <c r="AM46" s="57"/>
      <c r="AN46" s="57">
        <f>IF(F46="","",IF(AK46&lt;=AK63,AK65,IF(AK46&lt;=AM63,AM65,AO65)))</f>
        <v>23.53</v>
      </c>
      <c r="AO46" s="57"/>
      <c r="AP46" s="57">
        <f>IF(F46="","",IF(AK46&lt;=AK63,AK46+1,IF(AK46&lt;=AM63,AK46,(AK46+16)/3)))</f>
        <v>8</v>
      </c>
      <c r="AQ46" s="57"/>
      <c r="AS46" s="71">
        <f>AS44</f>
        <v>0.3346</v>
      </c>
      <c r="AT46" s="71"/>
      <c r="AU46" s="71">
        <f>AU44</f>
        <v>0.319</v>
      </c>
      <c r="AV46" s="71"/>
    </row>
    <row r="47" spans="1:34" ht="12" customHeight="1">
      <c r="A47" s="6"/>
      <c r="B47" s="6"/>
      <c r="C47" s="79"/>
      <c r="D47" s="79"/>
      <c r="E47" s="80"/>
      <c r="F47" s="144" t="s">
        <v>329</v>
      </c>
      <c r="G47" s="145"/>
      <c r="H47" s="102">
        <f>IF(F46="","",pipe(N21,M22,F46,F47,2))</f>
        <v>8.178799999999999</v>
      </c>
      <c r="I47" s="103"/>
      <c r="J47" s="104"/>
      <c r="K47" s="168"/>
      <c r="L47" s="165"/>
      <c r="M47" s="169"/>
      <c r="N47" s="164"/>
      <c r="O47" s="165"/>
      <c r="P47" s="169"/>
      <c r="Q47" s="164"/>
      <c r="R47" s="165"/>
      <c r="S47" s="165"/>
      <c r="T47" s="98"/>
      <c r="U47" s="92"/>
      <c r="V47" s="96"/>
      <c r="W47" s="168"/>
      <c r="X47" s="165"/>
      <c r="Y47" s="169"/>
      <c r="Z47" s="164"/>
      <c r="AA47" s="165"/>
      <c r="AB47" s="169"/>
      <c r="AC47" s="164"/>
      <c r="AD47" s="165"/>
      <c r="AE47" s="165"/>
      <c r="AF47" s="98"/>
      <c r="AG47" s="92"/>
      <c r="AH47" s="92"/>
    </row>
    <row r="48" spans="1:48" ht="12" customHeight="1">
      <c r="A48" s="6"/>
      <c r="B48" s="6"/>
      <c r="C48" s="170"/>
      <c r="D48" s="170"/>
      <c r="E48" s="171"/>
      <c r="F48" s="146" t="s">
        <v>220</v>
      </c>
      <c r="G48" s="147"/>
      <c r="H48" s="141">
        <f>IF(F48="","",pipe(N21,M22,F48,F49,1))</f>
        <v>323.84999999999997</v>
      </c>
      <c r="I48" s="142"/>
      <c r="J48" s="143"/>
      <c r="K48" s="125">
        <f>IF(F48="","",T48*H63/100)</f>
        <v>2963.139302058733</v>
      </c>
      <c r="L48" s="126"/>
      <c r="M48" s="127"/>
      <c r="N48" s="128">
        <f>IF(F48="","",((T48^2-K48^2)/2)^0.5)</f>
        <v>4158.0518742171125</v>
      </c>
      <c r="O48" s="126"/>
      <c r="P48" s="127"/>
      <c r="Q48" s="128">
        <f>IF(F48="","",N48)</f>
        <v>4158.0518742171125</v>
      </c>
      <c r="R48" s="126"/>
      <c r="S48" s="126"/>
      <c r="T48" s="166">
        <f>IF(F48="","",AP48*AS48*H49*N23/AL48)</f>
        <v>6584.754004574962</v>
      </c>
      <c r="U48" s="167"/>
      <c r="V48" s="173"/>
      <c r="W48" s="125">
        <f>IF(F48="","",AF48*H64/100)</f>
        <v>4377.438272060043</v>
      </c>
      <c r="X48" s="126"/>
      <c r="Y48" s="127"/>
      <c r="Z48" s="128">
        <f>IF(F48="","",((AF48^2-W48^2)/2)^0.5)</f>
        <v>2729.8123743000697</v>
      </c>
      <c r="AA48" s="126"/>
      <c r="AB48" s="127"/>
      <c r="AC48" s="128">
        <f>IF(F48="","",Z48)</f>
        <v>2729.8123743000697</v>
      </c>
      <c r="AD48" s="126"/>
      <c r="AE48" s="126"/>
      <c r="AF48" s="166">
        <f>IF(F48="","",(AP48*AU48)^2*H49*N23/AN48)</f>
        <v>5836.584362746724</v>
      </c>
      <c r="AG48" s="167"/>
      <c r="AH48" s="167"/>
      <c r="AJ48" s="3" t="str">
        <f>IF(F48="","*",IF(OR(N21="ASTM",N21="ASME"),F48,npsconv(N21,F48,1)))</f>
        <v>12"</v>
      </c>
      <c r="AK48" s="3">
        <f>IF(F48="","*",npsconv("ASTM",AJ48,2))</f>
        <v>12</v>
      </c>
      <c r="AL48" s="57">
        <f>IF(F48="","",IF(AK48&lt;=AK63,AK64,IF(AK48&lt;=AM63,AM64,AO64)))</f>
        <v>5.88</v>
      </c>
      <c r="AM48" s="57"/>
      <c r="AN48" s="57">
        <f>IF(F48="","",IF(AK48&lt;=AK63,AK65,IF(AK48&lt;=AM63,AM65,AO65)))</f>
        <v>18.83</v>
      </c>
      <c r="AO48" s="57"/>
      <c r="AP48" s="57">
        <f>IF(F48="","",IF(AK48&lt;=AK63,AK48+1,IF(AK48&lt;=AM63,AK48,(AK48+16)/3)))</f>
        <v>9.333333333333334</v>
      </c>
      <c r="AQ48" s="57"/>
      <c r="AS48" s="71">
        <f>AS44</f>
        <v>0.3346</v>
      </c>
      <c r="AT48" s="71"/>
      <c r="AU48" s="71">
        <f>AU44</f>
        <v>0.319</v>
      </c>
      <c r="AV48" s="71"/>
    </row>
    <row r="49" spans="1:34" ht="12" customHeight="1">
      <c r="A49" s="6"/>
      <c r="B49" s="6"/>
      <c r="C49" s="170"/>
      <c r="D49" s="170"/>
      <c r="E49" s="171"/>
      <c r="F49" s="144" t="s">
        <v>329</v>
      </c>
      <c r="G49" s="145"/>
      <c r="H49" s="102">
        <f>IF(F48="","",pipe(N21,M22,F48,F49,2))</f>
        <v>10.3124</v>
      </c>
      <c r="I49" s="103"/>
      <c r="J49" s="104"/>
      <c r="K49" s="168"/>
      <c r="L49" s="165"/>
      <c r="M49" s="169"/>
      <c r="N49" s="164"/>
      <c r="O49" s="165"/>
      <c r="P49" s="169"/>
      <c r="Q49" s="164"/>
      <c r="R49" s="165"/>
      <c r="S49" s="165"/>
      <c r="T49" s="168"/>
      <c r="U49" s="165"/>
      <c r="V49" s="172"/>
      <c r="W49" s="168"/>
      <c r="X49" s="165"/>
      <c r="Y49" s="169"/>
      <c r="Z49" s="164"/>
      <c r="AA49" s="165"/>
      <c r="AB49" s="169"/>
      <c r="AC49" s="164"/>
      <c r="AD49" s="165"/>
      <c r="AE49" s="165"/>
      <c r="AF49" s="168"/>
      <c r="AG49" s="165"/>
      <c r="AH49" s="165"/>
    </row>
    <row r="50" spans="1:48" ht="12" customHeight="1">
      <c r="A50" s="6"/>
      <c r="B50" s="6"/>
      <c r="C50" s="111"/>
      <c r="D50" s="111"/>
      <c r="E50" s="112"/>
      <c r="F50" s="146" t="s">
        <v>221</v>
      </c>
      <c r="G50" s="147"/>
      <c r="H50" s="141">
        <f>IF(F50="","",pipe(N21,M22,F50,F51,1))</f>
        <v>406.4</v>
      </c>
      <c r="I50" s="142"/>
      <c r="J50" s="143"/>
      <c r="K50" s="125">
        <f>IF(F50="","",T50*H63/100)</f>
        <v>4170.498665811025</v>
      </c>
      <c r="L50" s="126"/>
      <c r="M50" s="127"/>
      <c r="N50" s="128">
        <f>IF(F50="","",((T50^2-K50^2)/2)^0.5)</f>
        <v>5852.289759629995</v>
      </c>
      <c r="O50" s="126"/>
      <c r="P50" s="127"/>
      <c r="Q50" s="128">
        <f>IF(F50="","",N50)</f>
        <v>5852.289759629995</v>
      </c>
      <c r="R50" s="126"/>
      <c r="S50" s="126"/>
      <c r="T50" s="125">
        <f>IF(F50="","",AP50*AS50*H51*N23/AL50)</f>
        <v>9267.774812913387</v>
      </c>
      <c r="U50" s="126"/>
      <c r="V50" s="132"/>
      <c r="W50" s="125">
        <f>IF(F50="","",AF50*H64/100)</f>
        <v>7041.2196997045</v>
      </c>
      <c r="X50" s="126"/>
      <c r="Y50" s="127"/>
      <c r="Z50" s="128">
        <f>IF(F50="","",((AF50^2-W50^2)/2)^0.5)</f>
        <v>4390.971950216256</v>
      </c>
      <c r="AA50" s="126"/>
      <c r="AB50" s="127"/>
      <c r="AC50" s="128">
        <f>IF(F50="","",Z50)</f>
        <v>4390.971950216256</v>
      </c>
      <c r="AD50" s="126"/>
      <c r="AE50" s="126"/>
      <c r="AF50" s="125">
        <f>IF(F50="","",(AP50*AU50)^2*H51*N23/AN50)</f>
        <v>9388.292932939334</v>
      </c>
      <c r="AG50" s="126"/>
      <c r="AH50" s="126"/>
      <c r="AJ50" s="3" t="str">
        <f>IF(F50="","*",IF(OR(N21="ASTM",N21="ASME"),F50,npsconv(N21,F50,1)))</f>
        <v>16"</v>
      </c>
      <c r="AK50" s="3">
        <f>IF(F50="","*",npsconv("ASTM",AJ50,2))</f>
        <v>16</v>
      </c>
      <c r="AL50" s="57">
        <f>IF(F50="","",IF(AK50&lt;=AK63,AK64,IF(AK50&lt;=AM63,AM64,AO64)))</f>
        <v>5.88</v>
      </c>
      <c r="AM50" s="57"/>
      <c r="AN50" s="57">
        <f>IF(F50="","",IF(AK50&lt;=AK63,AK65,IF(AK50&lt;=AM63,AM65,AO65)))</f>
        <v>18.83</v>
      </c>
      <c r="AO50" s="57"/>
      <c r="AP50" s="57">
        <f>IF(F50="","",IF(AK50&lt;=AK63,AK50+1,IF(AK50&lt;=AM63,AK50,(AK50+16)/3)))</f>
        <v>10.666666666666666</v>
      </c>
      <c r="AQ50" s="57"/>
      <c r="AS50" s="71">
        <f>AS44</f>
        <v>0.3346</v>
      </c>
      <c r="AT50" s="71"/>
      <c r="AU50" s="71">
        <f>AU44</f>
        <v>0.319</v>
      </c>
      <c r="AV50" s="71"/>
    </row>
    <row r="51" spans="1:34" ht="12" customHeight="1">
      <c r="A51" s="6"/>
      <c r="B51" s="6"/>
      <c r="C51" s="79"/>
      <c r="D51" s="79"/>
      <c r="E51" s="80"/>
      <c r="F51" s="144" t="s">
        <v>329</v>
      </c>
      <c r="G51" s="145"/>
      <c r="H51" s="102">
        <f>IF(F50="","",pipe(N21,M22,F50,F51,2))</f>
        <v>12.7</v>
      </c>
      <c r="I51" s="103"/>
      <c r="J51" s="104"/>
      <c r="K51" s="168"/>
      <c r="L51" s="165"/>
      <c r="M51" s="169"/>
      <c r="N51" s="164"/>
      <c r="O51" s="165"/>
      <c r="P51" s="169"/>
      <c r="Q51" s="164"/>
      <c r="R51" s="165"/>
      <c r="S51" s="165"/>
      <c r="T51" s="98"/>
      <c r="U51" s="92"/>
      <c r="V51" s="96"/>
      <c r="W51" s="168"/>
      <c r="X51" s="165"/>
      <c r="Y51" s="169"/>
      <c r="Z51" s="164"/>
      <c r="AA51" s="165"/>
      <c r="AB51" s="169"/>
      <c r="AC51" s="164"/>
      <c r="AD51" s="165"/>
      <c r="AE51" s="165"/>
      <c r="AF51" s="98"/>
      <c r="AG51" s="92"/>
      <c r="AH51" s="92"/>
    </row>
    <row r="52" spans="1:48" ht="12" customHeight="1">
      <c r="A52" s="6"/>
      <c r="B52" s="6"/>
      <c r="C52" s="170"/>
      <c r="D52" s="170"/>
      <c r="E52" s="171"/>
      <c r="F52" s="146" t="s">
        <v>222</v>
      </c>
      <c r="G52" s="147"/>
      <c r="H52" s="141">
        <f>IF(F52="","",pipe(N21,M22,F52,F53,1))</f>
        <v>508</v>
      </c>
      <c r="I52" s="142"/>
      <c r="J52" s="143"/>
      <c r="K52" s="125">
        <f>IF(F52="","",T52*H63/100)</f>
        <v>5573.871466856434</v>
      </c>
      <c r="L52" s="126"/>
      <c r="M52" s="127"/>
      <c r="N52" s="128">
        <f>IF(F52="","",((T52^2-K52^2)/2)^0.5)</f>
        <v>7821.58526374549</v>
      </c>
      <c r="O52" s="126"/>
      <c r="P52" s="127"/>
      <c r="Q52" s="128">
        <f>IF(F52="","",N52)</f>
        <v>7821.58526374549</v>
      </c>
      <c r="R52" s="126"/>
      <c r="S52" s="126"/>
      <c r="T52" s="166">
        <f>IF(F52="","",AP52*AS52*H53*N23/AL52)</f>
        <v>12386.381037458743</v>
      </c>
      <c r="U52" s="167"/>
      <c r="V52" s="173"/>
      <c r="W52" s="125">
        <f>IF(F52="","",AF52*H64/100)</f>
        <v>10586.913894736948</v>
      </c>
      <c r="X52" s="126"/>
      <c r="Y52" s="127"/>
      <c r="Z52" s="128">
        <f>IF(F52="","",((AF52^2-W52^2)/2)^0.5)</f>
        <v>6602.10076289703</v>
      </c>
      <c r="AA52" s="126"/>
      <c r="AB52" s="127"/>
      <c r="AC52" s="128">
        <f>IF(F52="","",Z52)</f>
        <v>6602.10076289703</v>
      </c>
      <c r="AD52" s="126"/>
      <c r="AE52" s="126"/>
      <c r="AF52" s="166">
        <f>IF(F52="","",(AP52*AU52)^2*H53*N23/AN52)</f>
        <v>14115.885192982598</v>
      </c>
      <c r="AG52" s="167"/>
      <c r="AH52" s="167"/>
      <c r="AJ52" s="3" t="str">
        <f>IF(F52="","*",IF(OR(N21="ASTM",N21="ASME"),F52,npsconv(N21,F52,1)))</f>
        <v>20"</v>
      </c>
      <c r="AK52" s="3">
        <f>IF(F52="","*",npsconv("ASTM",AJ52,2))</f>
        <v>20</v>
      </c>
      <c r="AL52" s="57">
        <f>IF(F52="","",IF(AK52&lt;=AK63,AK64,IF(AK52&lt;=AM63,AM64,AO64)))</f>
        <v>5.88</v>
      </c>
      <c r="AM52" s="57"/>
      <c r="AN52" s="57">
        <f>IF(F52="","",IF(AK52&lt;=AK63,AK65,IF(AK52&lt;=AM63,AM65,AO65)))</f>
        <v>18.83</v>
      </c>
      <c r="AO52" s="57"/>
      <c r="AP52" s="57">
        <f>IF(F52="","",IF(AK52&lt;=AK63,AK52+1,IF(AK52&lt;=AM63,AK52,(AK52+16)/3)))</f>
        <v>12</v>
      </c>
      <c r="AQ52" s="57"/>
      <c r="AS52" s="71">
        <f>AS44</f>
        <v>0.3346</v>
      </c>
      <c r="AT52" s="71"/>
      <c r="AU52" s="71">
        <f>AU44</f>
        <v>0.319</v>
      </c>
      <c r="AV52" s="71"/>
    </row>
    <row r="53" spans="1:34" ht="12" customHeight="1">
      <c r="A53" s="6"/>
      <c r="B53" s="6"/>
      <c r="C53" s="170"/>
      <c r="D53" s="170"/>
      <c r="E53" s="171"/>
      <c r="F53" s="144" t="s">
        <v>329</v>
      </c>
      <c r="G53" s="145"/>
      <c r="H53" s="102">
        <f>IF(F52="","",pipe(N21,M22,F52,F53,2))</f>
        <v>15.087599999999998</v>
      </c>
      <c r="I53" s="103"/>
      <c r="J53" s="104"/>
      <c r="K53" s="168"/>
      <c r="L53" s="165"/>
      <c r="M53" s="169"/>
      <c r="N53" s="164"/>
      <c r="O53" s="165"/>
      <c r="P53" s="169"/>
      <c r="Q53" s="164"/>
      <c r="R53" s="165"/>
      <c r="S53" s="165"/>
      <c r="T53" s="168"/>
      <c r="U53" s="165"/>
      <c r="V53" s="172"/>
      <c r="W53" s="168"/>
      <c r="X53" s="165"/>
      <c r="Y53" s="169"/>
      <c r="Z53" s="164"/>
      <c r="AA53" s="165"/>
      <c r="AB53" s="169"/>
      <c r="AC53" s="164"/>
      <c r="AD53" s="165"/>
      <c r="AE53" s="165"/>
      <c r="AF53" s="168"/>
      <c r="AG53" s="165"/>
      <c r="AH53" s="165"/>
    </row>
    <row r="54" spans="1:48" ht="12" customHeight="1">
      <c r="A54" s="6"/>
      <c r="B54" s="6"/>
      <c r="C54" s="111"/>
      <c r="D54" s="111"/>
      <c r="E54" s="112"/>
      <c r="F54" s="146" t="s">
        <v>334</v>
      </c>
      <c r="G54" s="147"/>
      <c r="H54" s="141">
        <f>IF(F54="","",pipe(N21,M22,F54,F55,1))</f>
        <v>609.5999999999999</v>
      </c>
      <c r="I54" s="142"/>
      <c r="J54" s="143"/>
      <c r="K54" s="125">
        <f>IF(F54="","",T54*H63/100)</f>
        <v>7173.257705194962</v>
      </c>
      <c r="L54" s="126"/>
      <c r="M54" s="127"/>
      <c r="N54" s="128">
        <f>IF(F54="","",((T54^2-K54^2)/2)^0.5)</f>
        <v>10065.938386563594</v>
      </c>
      <c r="O54" s="126"/>
      <c r="P54" s="127"/>
      <c r="Q54" s="128">
        <f>IF(F54="","",N54)</f>
        <v>10065.938386563594</v>
      </c>
      <c r="R54" s="126"/>
      <c r="S54" s="126"/>
      <c r="T54" s="125">
        <f>IF(F54="","",AP54*AS54*H55*N23/AL54)</f>
        <v>15940.572678211027</v>
      </c>
      <c r="U54" s="126"/>
      <c r="V54" s="132"/>
      <c r="W54" s="125">
        <f>IF(F54="","",AF54*H64/100)</f>
        <v>15138.62235436468</v>
      </c>
      <c r="X54" s="126"/>
      <c r="Y54" s="127"/>
      <c r="Z54" s="128">
        <f>IF(F54="","",((AF54^2-W54^2)/2)^0.5)</f>
        <v>9440.589692964953</v>
      </c>
      <c r="AA54" s="126"/>
      <c r="AB54" s="127"/>
      <c r="AC54" s="128">
        <f>IF(F54="","",Z54)</f>
        <v>9440.589692964953</v>
      </c>
      <c r="AD54" s="126"/>
      <c r="AE54" s="126"/>
      <c r="AF54" s="125">
        <f>IF(F54="","",(AP54*AU54)^2*H55*N23/AN54)</f>
        <v>20184.829805819572</v>
      </c>
      <c r="AG54" s="126"/>
      <c r="AH54" s="126"/>
      <c r="AJ54" s="3" t="str">
        <f>IF(F54="","*",IF(OR(N21="ASTM",N21="ASME"),F54,npsconv(N21,F54,1)))</f>
        <v>24"</v>
      </c>
      <c r="AK54" s="3">
        <f>IF(F54="","*",npsconv("ASTM",AJ54,2))</f>
        <v>24</v>
      </c>
      <c r="AL54" s="57">
        <f>IF(F54="","",IF(AK54&lt;=AK63,AK64,IF(AK54&lt;=AM63,AM64,AO64)))</f>
        <v>5.88</v>
      </c>
      <c r="AM54" s="57"/>
      <c r="AN54" s="57">
        <f>IF(F54="","",IF(AK54&lt;=AK63,AK65,IF(AK54&lt;=AM63,AM65,AO65)))</f>
        <v>18.83</v>
      </c>
      <c r="AO54" s="57"/>
      <c r="AP54" s="57">
        <f>IF(F54="","",IF(AK54&lt;=AK63,AK54+1,IF(AK54&lt;=AM63,AK54,(AK54+16)/3)))</f>
        <v>13.333333333333334</v>
      </c>
      <c r="AQ54" s="57"/>
      <c r="AS54" s="71">
        <f>AS44</f>
        <v>0.3346</v>
      </c>
      <c r="AT54" s="71"/>
      <c r="AU54" s="71">
        <f>AU44</f>
        <v>0.319</v>
      </c>
      <c r="AV54" s="71"/>
    </row>
    <row r="55" spans="1:34" ht="12" customHeight="1">
      <c r="A55" s="6"/>
      <c r="B55" s="6"/>
      <c r="C55" s="79"/>
      <c r="D55" s="79"/>
      <c r="E55" s="80"/>
      <c r="F55" s="144" t="s">
        <v>329</v>
      </c>
      <c r="G55" s="145"/>
      <c r="H55" s="102">
        <f>IF(F54="","",pipe(N21,M22,F54,F55,2))</f>
        <v>17.475199999999997</v>
      </c>
      <c r="I55" s="103"/>
      <c r="J55" s="104"/>
      <c r="K55" s="168"/>
      <c r="L55" s="165"/>
      <c r="M55" s="169"/>
      <c r="N55" s="164"/>
      <c r="O55" s="165"/>
      <c r="P55" s="169"/>
      <c r="Q55" s="164"/>
      <c r="R55" s="165"/>
      <c r="S55" s="165"/>
      <c r="T55" s="98"/>
      <c r="U55" s="92"/>
      <c r="V55" s="96"/>
      <c r="W55" s="168"/>
      <c r="X55" s="165"/>
      <c r="Y55" s="169"/>
      <c r="Z55" s="164"/>
      <c r="AA55" s="165"/>
      <c r="AB55" s="169"/>
      <c r="AC55" s="164"/>
      <c r="AD55" s="165"/>
      <c r="AE55" s="165"/>
      <c r="AF55" s="98"/>
      <c r="AG55" s="92"/>
      <c r="AH55" s="92"/>
    </row>
    <row r="56" spans="1:48" ht="12" customHeight="1">
      <c r="A56" s="6"/>
      <c r="B56" s="6"/>
      <c r="C56" s="170"/>
      <c r="D56" s="170"/>
      <c r="E56" s="171"/>
      <c r="F56" s="146" t="s">
        <v>99</v>
      </c>
      <c r="G56" s="147"/>
      <c r="H56" s="141">
        <f>IF(F56="","",pipe(N21,M22,F56,F57,1))</f>
        <v>762</v>
      </c>
      <c r="I56" s="142"/>
      <c r="J56" s="143"/>
      <c r="K56" s="125">
        <f>IF(F56="","",T56*H63/100)</f>
        <v>4496.31887407751</v>
      </c>
      <c r="L56" s="126"/>
      <c r="M56" s="127"/>
      <c r="N56" s="128">
        <f>IF(F56="","",((T56^2-K56^2)/2)^0.5)</f>
        <v>6309.499897101089</v>
      </c>
      <c r="O56" s="126"/>
      <c r="P56" s="127"/>
      <c r="Q56" s="128">
        <f>IF(F56="","",N56)</f>
        <v>6309.499897101089</v>
      </c>
      <c r="R56" s="126"/>
      <c r="S56" s="126"/>
      <c r="T56" s="166">
        <f>IF(F56="","",AP56*AS56*H57*N23/AL56)</f>
        <v>9991.819720172245</v>
      </c>
      <c r="U56" s="167"/>
      <c r="V56" s="173"/>
      <c r="W56" s="125">
        <f>IF(F56="","",AF56*H64/100)</f>
        <v>10912.515296319378</v>
      </c>
      <c r="X56" s="126"/>
      <c r="Y56" s="127"/>
      <c r="Z56" s="128">
        <f>IF(F56="","",((AF56^2-W56^2)/2)^0.5)</f>
        <v>6805.148911126172</v>
      </c>
      <c r="AA56" s="126"/>
      <c r="AB56" s="127"/>
      <c r="AC56" s="128">
        <f>IF(F56="","",Z56)</f>
        <v>6805.148911126172</v>
      </c>
      <c r="AD56" s="126"/>
      <c r="AE56" s="126"/>
      <c r="AF56" s="166">
        <f>IF(F56="","",(AP56*AU56)^2*H57*N23/AN56)</f>
        <v>14550.020395092504</v>
      </c>
      <c r="AG56" s="167"/>
      <c r="AH56" s="167"/>
      <c r="AJ56" s="3" t="str">
        <f>IF(F56="","*",IF(OR(N21="ASTM",N21="ASME"),F56,npsconv(N21,F56,1)))</f>
        <v>30"</v>
      </c>
      <c r="AK56" s="3">
        <f>IF(F56="","*",npsconv("ASTM",AJ56,2))</f>
        <v>30</v>
      </c>
      <c r="AL56" s="57">
        <f>IF(F56="","",IF(AK56&lt;=AK63,AK64,IF(AK56&lt;=AM63,AM64,AO64)))</f>
        <v>5.88</v>
      </c>
      <c r="AM56" s="57"/>
      <c r="AN56" s="57">
        <f>IF(F56="","",IF(AK56&lt;=AK63,AK65,IF(AK56&lt;=AM63,AM65,AO65)))</f>
        <v>18.83</v>
      </c>
      <c r="AO56" s="57"/>
      <c r="AP56" s="57">
        <f>IF(F56="","",IF(AK56&lt;=AK63,AK56+1,IF(AK56&lt;=AM63,AK56,(AK56+16)/3)))</f>
        <v>15.333333333333334</v>
      </c>
      <c r="AQ56" s="57"/>
      <c r="AS56" s="71">
        <f>AS44</f>
        <v>0.3346</v>
      </c>
      <c r="AT56" s="71"/>
      <c r="AU56" s="71">
        <f>AU44</f>
        <v>0.319</v>
      </c>
      <c r="AV56" s="71"/>
    </row>
    <row r="57" spans="1:34" ht="12" customHeight="1">
      <c r="A57" s="6"/>
      <c r="B57" s="6"/>
      <c r="C57" s="79"/>
      <c r="D57" s="79"/>
      <c r="E57" s="80"/>
      <c r="F57" s="144" t="s">
        <v>333</v>
      </c>
      <c r="G57" s="145"/>
      <c r="H57" s="102">
        <f>IF(F56="","",pipe(N21,M22,F56,F57,2))</f>
        <v>9.524999999999999</v>
      </c>
      <c r="I57" s="103"/>
      <c r="J57" s="104"/>
      <c r="K57" s="98"/>
      <c r="L57" s="92"/>
      <c r="M57" s="94"/>
      <c r="N57" s="91"/>
      <c r="O57" s="92"/>
      <c r="P57" s="94"/>
      <c r="Q57" s="91"/>
      <c r="R57" s="92"/>
      <c r="S57" s="92"/>
      <c r="T57" s="98"/>
      <c r="U57" s="92"/>
      <c r="V57" s="96"/>
      <c r="W57" s="98"/>
      <c r="X57" s="92"/>
      <c r="Y57" s="94"/>
      <c r="Z57" s="91"/>
      <c r="AA57" s="92"/>
      <c r="AB57" s="94"/>
      <c r="AC57" s="91"/>
      <c r="AD57" s="92"/>
      <c r="AE57" s="92"/>
      <c r="AF57" s="98"/>
      <c r="AG57" s="92"/>
      <c r="AH57" s="92"/>
    </row>
    <row r="58" spans="1:21" ht="9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8" ht="9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1:36" ht="9.75" customHeight="1">
      <c r="A60" s="6"/>
      <c r="B60" s="6"/>
      <c r="C60" s="6"/>
      <c r="D60" s="15" t="s">
        <v>294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Y60" s="30" t="s">
        <v>193</v>
      </c>
      <c r="AJ60" s="23" t="s">
        <v>315</v>
      </c>
    </row>
    <row r="61" spans="1:43" ht="9.75" customHeight="1">
      <c r="A61" s="6"/>
      <c r="B61" s="6"/>
      <c r="C61" s="6"/>
      <c r="D61" s="27" t="s">
        <v>255</v>
      </c>
      <c r="E61" s="7" t="s">
        <v>291</v>
      </c>
      <c r="F61" s="6"/>
      <c r="G61" s="6" t="s">
        <v>295</v>
      </c>
      <c r="H61" s="7" t="s">
        <v>341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Y61" s="23" t="s">
        <v>332</v>
      </c>
      <c r="Z61" s="3" t="s">
        <v>313</v>
      </c>
      <c r="AJ61" s="25"/>
      <c r="AK61" s="156" t="s">
        <v>324</v>
      </c>
      <c r="AL61" s="157"/>
      <c r="AM61" s="157"/>
      <c r="AN61" s="157"/>
      <c r="AO61" s="157"/>
      <c r="AP61" s="157"/>
      <c r="AQ61" s="157"/>
    </row>
    <row r="62" spans="1:43" ht="9.75" customHeight="1">
      <c r="A62" s="6"/>
      <c r="B62" s="6"/>
      <c r="C62" s="6"/>
      <c r="D62" s="27" t="s">
        <v>259</v>
      </c>
      <c r="E62" s="7" t="s">
        <v>292</v>
      </c>
      <c r="F62" s="6"/>
      <c r="G62" s="6" t="s">
        <v>295</v>
      </c>
      <c r="H62" s="7" t="s">
        <v>340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Y62" s="23" t="s">
        <v>310</v>
      </c>
      <c r="Z62" s="3" t="s">
        <v>311</v>
      </c>
      <c r="AJ62" s="6"/>
      <c r="AK62" s="38" t="s">
        <v>318</v>
      </c>
      <c r="AL62" s="39" t="s">
        <v>319</v>
      </c>
      <c r="AM62" s="40" t="s">
        <v>318</v>
      </c>
      <c r="AN62" s="40" t="s">
        <v>320</v>
      </c>
      <c r="AO62" s="38" t="s">
        <v>321</v>
      </c>
      <c r="AP62" s="40"/>
      <c r="AQ62" s="40"/>
    </row>
    <row r="63" spans="1:43" ht="9.75" customHeight="1">
      <c r="A63" s="6"/>
      <c r="B63" s="6"/>
      <c r="C63" s="6"/>
      <c r="D63" s="27" t="s">
        <v>266</v>
      </c>
      <c r="E63" s="7" t="s">
        <v>268</v>
      </c>
      <c r="F63" s="6"/>
      <c r="G63" s="6" t="s">
        <v>295</v>
      </c>
      <c r="H63" s="138">
        <v>45</v>
      </c>
      <c r="I63" s="138"/>
      <c r="J63" s="6" t="s">
        <v>296</v>
      </c>
      <c r="K63" s="7" t="s">
        <v>291</v>
      </c>
      <c r="L63" s="6"/>
      <c r="M63" s="6"/>
      <c r="N63" s="28" t="s">
        <v>336</v>
      </c>
      <c r="O63" s="42">
        <v>50</v>
      </c>
      <c r="P63" s="6" t="s">
        <v>233</v>
      </c>
      <c r="Q63" s="6"/>
      <c r="R63" s="6"/>
      <c r="S63" s="6"/>
      <c r="U63" s="6"/>
      <c r="Y63" s="23" t="s">
        <v>12</v>
      </c>
      <c r="Z63" s="3" t="s">
        <v>312</v>
      </c>
      <c r="AK63" s="158">
        <f>npsconv("ASTM",AL62,2)</f>
        <v>4</v>
      </c>
      <c r="AL63" s="159"/>
      <c r="AM63" s="159">
        <f>npsconv("ASTM",AN62,2)</f>
        <v>8</v>
      </c>
      <c r="AN63" s="159"/>
      <c r="AO63" s="159"/>
      <c r="AP63" s="159"/>
      <c r="AQ63" s="6"/>
    </row>
    <row r="64" spans="1:43" ht="9.75" customHeight="1">
      <c r="A64" s="6"/>
      <c r="B64" s="6"/>
      <c r="C64" s="6"/>
      <c r="D64" s="27" t="s">
        <v>284</v>
      </c>
      <c r="E64" s="7" t="s">
        <v>276</v>
      </c>
      <c r="F64" s="6"/>
      <c r="G64" s="6" t="s">
        <v>295</v>
      </c>
      <c r="H64" s="138">
        <v>75</v>
      </c>
      <c r="I64" s="138"/>
      <c r="J64" s="6" t="s">
        <v>296</v>
      </c>
      <c r="K64" s="7" t="s">
        <v>232</v>
      </c>
      <c r="L64" s="6"/>
      <c r="M64" s="6"/>
      <c r="N64" s="28" t="s">
        <v>337</v>
      </c>
      <c r="O64" s="42">
        <v>80</v>
      </c>
      <c r="P64" s="6" t="s">
        <v>233</v>
      </c>
      <c r="Q64" s="6"/>
      <c r="R64" s="6"/>
      <c r="S64" s="6"/>
      <c r="U64" s="6"/>
      <c r="Y64" s="23" t="s">
        <v>317</v>
      </c>
      <c r="Z64" s="3" t="s">
        <v>314</v>
      </c>
      <c r="AJ64" s="37" t="s">
        <v>325</v>
      </c>
      <c r="AK64" s="151">
        <v>9</v>
      </c>
      <c r="AL64" s="163"/>
      <c r="AM64" s="152">
        <v>7.06</v>
      </c>
      <c r="AN64" s="152"/>
      <c r="AO64" s="151">
        <v>5.88</v>
      </c>
      <c r="AP64" s="152"/>
      <c r="AQ64" s="31"/>
    </row>
    <row r="65" spans="1:43" ht="9.75" customHeight="1">
      <c r="A65" s="6"/>
      <c r="B65" s="6"/>
      <c r="C65" s="6"/>
      <c r="D65" s="27" t="s">
        <v>297</v>
      </c>
      <c r="E65" s="6" t="s">
        <v>298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Y65" s="23" t="s">
        <v>331</v>
      </c>
      <c r="Z65" s="3" t="s">
        <v>314</v>
      </c>
      <c r="AJ65" s="33" t="s">
        <v>326</v>
      </c>
      <c r="AK65" s="153">
        <v>25</v>
      </c>
      <c r="AL65" s="154"/>
      <c r="AM65" s="155">
        <v>23.53</v>
      </c>
      <c r="AN65" s="155"/>
      <c r="AO65" s="153">
        <v>18.83</v>
      </c>
      <c r="AP65" s="155"/>
      <c r="AQ65" s="32"/>
    </row>
    <row r="66" spans="1:43" ht="9.75" customHeight="1">
      <c r="A66" s="6"/>
      <c r="B66" s="6"/>
      <c r="C66" s="6"/>
      <c r="D66" s="6"/>
      <c r="E66" s="105" t="s">
        <v>338</v>
      </c>
      <c r="F66" s="105"/>
      <c r="G66" s="59" t="s">
        <v>299</v>
      </c>
      <c r="H66" s="105" t="s">
        <v>339</v>
      </c>
      <c r="I66" s="105"/>
      <c r="J66" s="139" t="s">
        <v>300</v>
      </c>
      <c r="K66" s="140">
        <v>1</v>
      </c>
      <c r="L66" s="140"/>
      <c r="M66" s="6"/>
      <c r="N66" s="6"/>
      <c r="O66" s="6"/>
      <c r="P66" s="6"/>
      <c r="Q66" s="6"/>
      <c r="R66" s="6"/>
      <c r="S66" s="6"/>
      <c r="T66" s="6"/>
      <c r="U66" s="6"/>
      <c r="AJ66" s="34" t="s">
        <v>327</v>
      </c>
      <c r="AK66" s="160" t="s">
        <v>322</v>
      </c>
      <c r="AL66" s="161"/>
      <c r="AM66" s="162" t="s">
        <v>316</v>
      </c>
      <c r="AN66" s="162"/>
      <c r="AO66" s="36" t="s">
        <v>323</v>
      </c>
      <c r="AP66" s="35"/>
      <c r="AQ66" s="35"/>
    </row>
    <row r="67" spans="1:21" ht="9.75" customHeight="1">
      <c r="A67" s="6"/>
      <c r="B67" s="6"/>
      <c r="C67" s="6"/>
      <c r="D67" s="6"/>
      <c r="E67" s="72" t="s">
        <v>291</v>
      </c>
      <c r="F67" s="72"/>
      <c r="G67" s="59"/>
      <c r="H67" s="72" t="s">
        <v>292</v>
      </c>
      <c r="I67" s="72"/>
      <c r="J67" s="59"/>
      <c r="K67" s="140"/>
      <c r="L67" s="140"/>
      <c r="M67" s="6"/>
      <c r="N67" s="6"/>
      <c r="O67" s="6"/>
      <c r="P67" s="6"/>
      <c r="Q67" s="6"/>
      <c r="R67" s="6"/>
      <c r="S67" s="6"/>
      <c r="T67" s="6"/>
      <c r="U67" s="6"/>
    </row>
    <row r="68" spans="1:21" ht="9.75" customHeight="1">
      <c r="A68" s="6"/>
      <c r="B68" s="6"/>
      <c r="C68" s="6"/>
      <c r="D68" s="6"/>
      <c r="E68" s="6" t="s">
        <v>301</v>
      </c>
      <c r="F68" s="6"/>
      <c r="G68" s="6"/>
      <c r="H68" s="7" t="s">
        <v>302</v>
      </c>
      <c r="I68" s="6"/>
      <c r="J68" s="6" t="s">
        <v>303</v>
      </c>
      <c r="K68" s="6"/>
      <c r="L68" s="6"/>
      <c r="M68" s="6"/>
      <c r="N68" s="6"/>
      <c r="O68" s="6"/>
      <c r="P68" s="6"/>
      <c r="Q68" s="6" t="s">
        <v>304</v>
      </c>
      <c r="R68" s="6"/>
      <c r="S68" s="6"/>
      <c r="T68" s="6"/>
      <c r="U68" s="6"/>
    </row>
    <row r="69" spans="1:21" ht="9.75" customHeight="1">
      <c r="A69" s="6"/>
      <c r="B69" s="6"/>
      <c r="C69" s="6"/>
      <c r="D69" s="6"/>
      <c r="E69" s="6"/>
      <c r="F69" s="6"/>
      <c r="G69" s="6"/>
      <c r="H69" s="7" t="s">
        <v>305</v>
      </c>
      <c r="I69" s="6"/>
      <c r="J69" s="6" t="s">
        <v>306</v>
      </c>
      <c r="K69" s="6"/>
      <c r="L69" s="6"/>
      <c r="M69" s="6"/>
      <c r="N69" s="6"/>
      <c r="O69" s="6"/>
      <c r="P69" s="6"/>
      <c r="Q69" s="6" t="s">
        <v>307</v>
      </c>
      <c r="R69" s="6"/>
      <c r="S69" s="6"/>
      <c r="T69" s="6"/>
      <c r="U69" s="6"/>
    </row>
    <row r="70" spans="1:28" ht="9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9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9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34" ht="9.75" customHeight="1">
      <c r="A73" s="12" t="s">
        <v>7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13" t="s">
        <v>540</v>
      </c>
    </row>
    <row r="115" ht="13.5" customHeight="1"/>
    <row r="116" ht="13.5" customHeight="1"/>
  </sheetData>
  <mergeCells count="181">
    <mergeCell ref="C50:E51"/>
    <mergeCell ref="C52:E53"/>
    <mergeCell ref="C54:E55"/>
    <mergeCell ref="H56:J56"/>
    <mergeCell ref="F52:G52"/>
    <mergeCell ref="F53:G53"/>
    <mergeCell ref="F54:G54"/>
    <mergeCell ref="F55:G55"/>
    <mergeCell ref="F56:G56"/>
    <mergeCell ref="AF52:AH53"/>
    <mergeCell ref="C56:E57"/>
    <mergeCell ref="H57:J57"/>
    <mergeCell ref="AF56:AH57"/>
    <mergeCell ref="Q56:S57"/>
    <mergeCell ref="T56:V57"/>
    <mergeCell ref="AC54:AE55"/>
    <mergeCell ref="AF54:AH55"/>
    <mergeCell ref="W54:Y55"/>
    <mergeCell ref="Z54:AB55"/>
    <mergeCell ref="W56:Y57"/>
    <mergeCell ref="T52:V53"/>
    <mergeCell ref="K56:M57"/>
    <mergeCell ref="N56:P57"/>
    <mergeCell ref="AC52:AE53"/>
    <mergeCell ref="W52:Y53"/>
    <mergeCell ref="Z52:AB53"/>
    <mergeCell ref="K52:M53"/>
    <mergeCell ref="N52:P53"/>
    <mergeCell ref="AC56:AE57"/>
    <mergeCell ref="Z56:AB57"/>
    <mergeCell ref="T54:V55"/>
    <mergeCell ref="T50:V51"/>
    <mergeCell ref="W50:Y51"/>
    <mergeCell ref="Z50:AB51"/>
    <mergeCell ref="K46:M47"/>
    <mergeCell ref="W48:Y49"/>
    <mergeCell ref="Z48:AB49"/>
    <mergeCell ref="N48:P49"/>
    <mergeCell ref="Q48:S49"/>
    <mergeCell ref="T48:V49"/>
    <mergeCell ref="K50:M51"/>
    <mergeCell ref="N50:P51"/>
    <mergeCell ref="Q50:S51"/>
    <mergeCell ref="H54:J54"/>
    <mergeCell ref="K54:M55"/>
    <mergeCell ref="N54:P55"/>
    <mergeCell ref="H55:J55"/>
    <mergeCell ref="Q52:S53"/>
    <mergeCell ref="Q54:S55"/>
    <mergeCell ref="C42:E42"/>
    <mergeCell ref="F42:G42"/>
    <mergeCell ref="N46:P47"/>
    <mergeCell ref="Q46:S47"/>
    <mergeCell ref="C43:E43"/>
    <mergeCell ref="F43:G43"/>
    <mergeCell ref="C44:E45"/>
    <mergeCell ref="C46:E47"/>
    <mergeCell ref="F46:G46"/>
    <mergeCell ref="H42:J42"/>
    <mergeCell ref="N18:P18"/>
    <mergeCell ref="N19:P19"/>
    <mergeCell ref="C41:E41"/>
    <mergeCell ref="F41:J41"/>
    <mergeCell ref="K41:V41"/>
    <mergeCell ref="N23:P23"/>
    <mergeCell ref="N21:P21"/>
    <mergeCell ref="M22:P22"/>
    <mergeCell ref="K42:M42"/>
    <mergeCell ref="N42:P42"/>
    <mergeCell ref="K44:M45"/>
    <mergeCell ref="N44:P45"/>
    <mergeCell ref="C48:E49"/>
    <mergeCell ref="W44:Y45"/>
    <mergeCell ref="Z44:AB45"/>
    <mergeCell ref="W43:AH43"/>
    <mergeCell ref="K43:V43"/>
    <mergeCell ref="T44:V45"/>
    <mergeCell ref="Q44:S45"/>
    <mergeCell ref="H43:J43"/>
    <mergeCell ref="K48:M49"/>
    <mergeCell ref="F44:G44"/>
    <mergeCell ref="AC7:AG7"/>
    <mergeCell ref="AC44:AE45"/>
    <mergeCell ref="AF44:AH45"/>
    <mergeCell ref="W41:AH41"/>
    <mergeCell ref="W42:Y42"/>
    <mergeCell ref="Z42:AB42"/>
    <mergeCell ref="AC42:AE42"/>
    <mergeCell ref="AF42:AH42"/>
    <mergeCell ref="AC46:AE47"/>
    <mergeCell ref="AF46:AH47"/>
    <mergeCell ref="T46:V47"/>
    <mergeCell ref="W46:Y47"/>
    <mergeCell ref="Z46:AB47"/>
    <mergeCell ref="AC50:AE51"/>
    <mergeCell ref="AF50:AH51"/>
    <mergeCell ref="AC48:AE49"/>
    <mergeCell ref="AF48:AH49"/>
    <mergeCell ref="A1:AH3"/>
    <mergeCell ref="AC5:AG5"/>
    <mergeCell ref="AC6:AD6"/>
    <mergeCell ref="AF6:AG6"/>
    <mergeCell ref="AK66:AL66"/>
    <mergeCell ref="AM66:AN66"/>
    <mergeCell ref="H63:I63"/>
    <mergeCell ref="H64:I64"/>
    <mergeCell ref="J66:J67"/>
    <mergeCell ref="K66:L67"/>
    <mergeCell ref="AK64:AL64"/>
    <mergeCell ref="AM64:AN64"/>
    <mergeCell ref="E66:F66"/>
    <mergeCell ref="H66:I66"/>
    <mergeCell ref="E67:F67"/>
    <mergeCell ref="H67:I67"/>
    <mergeCell ref="G66:G67"/>
    <mergeCell ref="AK61:AQ61"/>
    <mergeCell ref="AK63:AL63"/>
    <mergeCell ref="AM63:AN63"/>
    <mergeCell ref="AO63:AP63"/>
    <mergeCell ref="AO64:AP64"/>
    <mergeCell ref="AK65:AL65"/>
    <mergeCell ref="AM65:AN65"/>
    <mergeCell ref="AO65:AP65"/>
    <mergeCell ref="AS44:AT44"/>
    <mergeCell ref="AU44:AV44"/>
    <mergeCell ref="AL44:AM44"/>
    <mergeCell ref="AN44:AO44"/>
    <mergeCell ref="AP44:AQ44"/>
    <mergeCell ref="AL42:AM42"/>
    <mergeCell ref="AN42:AO42"/>
    <mergeCell ref="AP42:AQ42"/>
    <mergeCell ref="F47:G47"/>
    <mergeCell ref="H44:J44"/>
    <mergeCell ref="F45:G45"/>
    <mergeCell ref="H45:J45"/>
    <mergeCell ref="AJ42:AK42"/>
    <mergeCell ref="Q42:S42"/>
    <mergeCell ref="T42:V42"/>
    <mergeCell ref="F48:G48"/>
    <mergeCell ref="F49:G49"/>
    <mergeCell ref="F50:G50"/>
    <mergeCell ref="F51:G51"/>
    <mergeCell ref="F57:G57"/>
    <mergeCell ref="AS46:AT46"/>
    <mergeCell ref="AS52:AT52"/>
    <mergeCell ref="AL46:AM46"/>
    <mergeCell ref="AL50:AM50"/>
    <mergeCell ref="AL52:AM52"/>
    <mergeCell ref="AL56:AM56"/>
    <mergeCell ref="AN46:AO46"/>
    <mergeCell ref="AS56:AT56"/>
    <mergeCell ref="AN52:AO52"/>
    <mergeCell ref="AU56:AV56"/>
    <mergeCell ref="AU46:AV46"/>
    <mergeCell ref="AS48:AT48"/>
    <mergeCell ref="AU48:AV48"/>
    <mergeCell ref="AS50:AT50"/>
    <mergeCell ref="AU50:AV50"/>
    <mergeCell ref="AU52:AV52"/>
    <mergeCell ref="AS54:AT54"/>
    <mergeCell ref="AU54:AV54"/>
    <mergeCell ref="AL54:AM54"/>
    <mergeCell ref="AN54:AO54"/>
    <mergeCell ref="AP46:AQ46"/>
    <mergeCell ref="AP48:AQ48"/>
    <mergeCell ref="AP50:AQ50"/>
    <mergeCell ref="AP52:AQ52"/>
    <mergeCell ref="AP54:AQ54"/>
    <mergeCell ref="AL48:AM48"/>
    <mergeCell ref="AN48:AO48"/>
    <mergeCell ref="AN50:AO50"/>
    <mergeCell ref="AP56:AQ56"/>
    <mergeCell ref="AN56:AO56"/>
    <mergeCell ref="H46:J46"/>
    <mergeCell ref="H47:J47"/>
    <mergeCell ref="H48:J48"/>
    <mergeCell ref="H49:J49"/>
    <mergeCell ref="H50:J50"/>
    <mergeCell ref="H51:J51"/>
    <mergeCell ref="H52:J52"/>
    <mergeCell ref="H53:J53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BD73"/>
  <sheetViews>
    <sheetView zoomScaleSheetLayoutView="100" workbookViewId="0" topLeftCell="A1">
      <selection activeCell="X5" sqref="X5"/>
    </sheetView>
  </sheetViews>
  <sheetFormatPr defaultColWidth="8.88671875" defaultRowHeight="13.5"/>
  <cols>
    <col min="1" max="63" width="2.3359375" style="3" customWidth="1"/>
    <col min="64" max="16384" width="8.88671875" style="3" customWidth="1"/>
  </cols>
  <sheetData>
    <row r="1" spans="1:34" ht="9.75" customHeight="1">
      <c r="A1" s="69" t="s">
        <v>345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4" ht="9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9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ht="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H4" s="6"/>
    </row>
    <row r="5" spans="1:33" ht="9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Z5" s="6" t="s">
        <v>346</v>
      </c>
      <c r="AC5" s="68" t="s">
        <v>443</v>
      </c>
      <c r="AD5" s="68"/>
      <c r="AE5" s="68"/>
      <c r="AF5" s="68"/>
      <c r="AG5" s="68"/>
    </row>
    <row r="6" spans="1:33" ht="9.75" customHeight="1">
      <c r="A6" s="6"/>
      <c r="B6" s="6"/>
      <c r="C6" s="6" t="s">
        <v>347</v>
      </c>
      <c r="D6" s="6"/>
      <c r="E6" s="6"/>
      <c r="F6" s="6" t="s">
        <v>348</v>
      </c>
      <c r="G6" s="44" t="s">
        <v>349</v>
      </c>
      <c r="H6" s="6"/>
      <c r="I6" s="6"/>
      <c r="J6" s="6"/>
      <c r="K6" s="6"/>
      <c r="L6" s="6"/>
      <c r="M6" s="6"/>
      <c r="N6" s="6"/>
      <c r="O6" s="6"/>
      <c r="P6" s="6"/>
      <c r="Z6" s="6" t="s">
        <v>350</v>
      </c>
      <c r="AC6" s="68">
        <v>1</v>
      </c>
      <c r="AD6" s="68"/>
      <c r="AE6" s="8" t="s">
        <v>351</v>
      </c>
      <c r="AF6" s="68">
        <v>1</v>
      </c>
      <c r="AG6" s="68"/>
    </row>
    <row r="7" spans="1:34" ht="9.75" customHeight="1">
      <c r="A7" s="6"/>
      <c r="B7" s="6"/>
      <c r="C7" s="6" t="s">
        <v>352</v>
      </c>
      <c r="D7" s="6"/>
      <c r="E7" s="6"/>
      <c r="F7" s="6" t="s">
        <v>348</v>
      </c>
      <c r="G7" s="1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3" t="s">
        <v>353</v>
      </c>
      <c r="AC7" s="68" t="s">
        <v>435</v>
      </c>
      <c r="AD7" s="68"/>
      <c r="AE7" s="68"/>
      <c r="AF7" s="68"/>
      <c r="AG7" s="68"/>
      <c r="AH7" s="6"/>
    </row>
    <row r="8" spans="1:33" ht="9.75" customHeight="1">
      <c r="A8" s="6"/>
      <c r="B8" s="6"/>
      <c r="C8" s="6" t="s">
        <v>354</v>
      </c>
      <c r="D8" s="6"/>
      <c r="E8" s="6"/>
      <c r="F8" s="6" t="s">
        <v>348</v>
      </c>
      <c r="G8" s="11" t="s">
        <v>355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 t="s">
        <v>356</v>
      </c>
      <c r="AC8" s="8">
        <v>0</v>
      </c>
      <c r="AD8" s="43"/>
      <c r="AE8" s="43"/>
      <c r="AF8" s="43"/>
      <c r="AG8" s="43"/>
    </row>
    <row r="9" spans="1:28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5" ht="9.75" customHeight="1">
      <c r="A11" s="6"/>
      <c r="B11" s="6"/>
      <c r="C11" s="24" t="s">
        <v>357</v>
      </c>
      <c r="D11" s="11" t="s">
        <v>358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Y11" s="6"/>
    </row>
    <row r="12" spans="1:25" ht="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Y12" s="6"/>
    </row>
    <row r="13" spans="1:21" ht="9.75" customHeight="1">
      <c r="A13" s="6"/>
      <c r="B13" s="6"/>
      <c r="C13" s="6"/>
      <c r="D13" s="7" t="s">
        <v>359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9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8" ht="9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30" ht="9.75" customHeight="1">
      <c r="A16" s="6"/>
      <c r="B16" s="6"/>
      <c r="C16" s="24" t="s">
        <v>360</v>
      </c>
      <c r="D16" s="11" t="s">
        <v>361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AA16" s="6"/>
      <c r="AB16" s="6"/>
      <c r="AC16" s="6"/>
      <c r="AD16" s="6"/>
    </row>
    <row r="17" spans="1:30" ht="9.75" customHeight="1">
      <c r="A17" s="6"/>
      <c r="B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AA17" s="6"/>
      <c r="AB17" s="6"/>
      <c r="AC17" s="6"/>
      <c r="AD17" s="6"/>
    </row>
    <row r="18" spans="1:31" s="2" customFormat="1" ht="9.75" customHeight="1">
      <c r="A18" s="6"/>
      <c r="B18" s="6"/>
      <c r="C18" s="3"/>
      <c r="D18" s="7" t="s">
        <v>362</v>
      </c>
      <c r="E18" s="6"/>
      <c r="F18" s="6"/>
      <c r="G18" s="6"/>
      <c r="H18" s="6"/>
      <c r="I18" s="6"/>
      <c r="J18" s="6"/>
      <c r="K18" s="6"/>
      <c r="M18" s="6"/>
      <c r="N18" s="63">
        <v>10.5</v>
      </c>
      <c r="O18" s="63"/>
      <c r="P18" s="63"/>
      <c r="Q18" s="6"/>
      <c r="R18" s="6" t="s">
        <v>29</v>
      </c>
      <c r="S18" s="6"/>
      <c r="T18" s="6"/>
      <c r="U18" s="6"/>
      <c r="V18" s="6"/>
      <c r="W18" s="3"/>
      <c r="X18" s="3"/>
      <c r="Y18" s="3"/>
      <c r="Z18" s="3"/>
      <c r="AA18" s="3"/>
      <c r="AB18" s="7"/>
      <c r="AD18" s="5"/>
      <c r="AE18" s="3"/>
    </row>
    <row r="19" spans="1:31" s="2" customFormat="1" ht="9.75" customHeight="1">
      <c r="A19" s="6"/>
      <c r="B19" s="6"/>
      <c r="C19" s="3"/>
      <c r="D19" s="7" t="s">
        <v>363</v>
      </c>
      <c r="E19" s="6"/>
      <c r="F19" s="6"/>
      <c r="G19" s="6"/>
      <c r="H19" s="6"/>
      <c r="I19" s="6"/>
      <c r="J19" s="6"/>
      <c r="K19" s="6"/>
      <c r="M19" s="6"/>
      <c r="N19" s="63">
        <v>240</v>
      </c>
      <c r="O19" s="63"/>
      <c r="P19" s="63"/>
      <c r="Q19" s="6"/>
      <c r="R19" s="6" t="s">
        <v>41</v>
      </c>
      <c r="S19" s="6"/>
      <c r="T19" s="6"/>
      <c r="U19" s="6"/>
      <c r="V19" s="6"/>
      <c r="W19" s="3"/>
      <c r="X19" s="3"/>
      <c r="Y19" s="3"/>
      <c r="Z19" s="3"/>
      <c r="AA19" s="3"/>
      <c r="AB19" s="6"/>
      <c r="AD19" s="5"/>
      <c r="AE19" s="3"/>
    </row>
    <row r="20" spans="1:28" ht="9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30" ht="9.75" customHeight="1">
      <c r="A21" s="6"/>
      <c r="B21" s="6"/>
      <c r="C21" s="6"/>
      <c r="D21" s="9" t="s">
        <v>364</v>
      </c>
      <c r="E21" s="6"/>
      <c r="F21" s="6"/>
      <c r="G21" s="6"/>
      <c r="H21" s="6"/>
      <c r="I21" s="6"/>
      <c r="J21" s="6"/>
      <c r="K21" s="6"/>
      <c r="L21" s="6"/>
      <c r="M21" s="134" t="s">
        <v>433</v>
      </c>
      <c r="N21" s="134"/>
      <c r="O21" s="134"/>
      <c r="P21" s="134"/>
      <c r="Q21" s="6"/>
      <c r="R21" s="134" t="s">
        <v>434</v>
      </c>
      <c r="S21" s="134"/>
      <c r="T21" s="134"/>
      <c r="U21" s="134"/>
      <c r="AA21" s="6"/>
      <c r="AB21" s="6"/>
      <c r="AC21" s="6"/>
      <c r="AD21" s="6"/>
    </row>
    <row r="22" spans="1:30" ht="9.75" customHeight="1">
      <c r="A22" s="6"/>
      <c r="B22" s="6"/>
      <c r="D22" s="3" t="s">
        <v>432</v>
      </c>
      <c r="E22" s="6"/>
      <c r="F22" s="6"/>
      <c r="G22" s="6"/>
      <c r="H22" s="6"/>
      <c r="I22" s="6"/>
      <c r="J22" s="6"/>
      <c r="K22" s="6"/>
      <c r="L22" s="6"/>
      <c r="M22" s="191" t="s">
        <v>34</v>
      </c>
      <c r="N22" s="191"/>
      <c r="O22" s="191"/>
      <c r="P22" s="191"/>
      <c r="Q22" s="6"/>
      <c r="R22" s="191" t="s">
        <v>34</v>
      </c>
      <c r="S22" s="191"/>
      <c r="T22" s="191"/>
      <c r="U22" s="191"/>
      <c r="AA22" s="6"/>
      <c r="AB22" s="6"/>
      <c r="AC22" s="6"/>
      <c r="AD22" s="6"/>
    </row>
    <row r="23" spans="1:30" ht="9.75" customHeight="1">
      <c r="A23" s="6"/>
      <c r="B23" s="6"/>
      <c r="C23" s="6"/>
      <c r="D23" s="6" t="s">
        <v>365</v>
      </c>
      <c r="E23" s="6"/>
      <c r="F23" s="6"/>
      <c r="G23" s="6"/>
      <c r="H23" s="6"/>
      <c r="I23" s="6"/>
      <c r="M23" s="191" t="s">
        <v>35</v>
      </c>
      <c r="N23" s="191"/>
      <c r="O23" s="191"/>
      <c r="P23" s="191"/>
      <c r="Q23" s="6"/>
      <c r="R23" s="191" t="s">
        <v>42</v>
      </c>
      <c r="S23" s="191"/>
      <c r="T23" s="191"/>
      <c r="U23" s="191"/>
      <c r="AA23" s="6"/>
      <c r="AB23" s="6"/>
      <c r="AC23" s="6"/>
      <c r="AD23" s="6"/>
    </row>
    <row r="24" spans="1:30" ht="9.75" customHeight="1">
      <c r="A24" s="6"/>
      <c r="B24" s="6"/>
      <c r="C24" s="6"/>
      <c r="D24" s="6" t="s">
        <v>366</v>
      </c>
      <c r="E24" s="6"/>
      <c r="F24" s="6"/>
      <c r="G24" s="6"/>
      <c r="H24" s="6"/>
      <c r="I24" s="6"/>
      <c r="J24" s="6"/>
      <c r="K24" s="6"/>
      <c r="L24" s="6"/>
      <c r="M24" s="192">
        <f>stress(M22,M21,M23,N19,R19,R18,3)</f>
        <v>1202.2489811829626</v>
      </c>
      <c r="N24" s="192"/>
      <c r="O24" s="192"/>
      <c r="P24" s="192"/>
      <c r="Q24" s="6"/>
      <c r="R24" s="192">
        <f>stress(R22,R21,R23,N19,R19,R18,3)</f>
        <v>1406.1391592783186</v>
      </c>
      <c r="S24" s="192"/>
      <c r="T24" s="192"/>
      <c r="U24" s="192"/>
      <c r="W24" s="3" t="str">
        <f>upsx(R18)</f>
        <v>kg/cm2</v>
      </c>
      <c r="AA24" s="6"/>
      <c r="AB24" s="6"/>
      <c r="AC24" s="6"/>
      <c r="AD24" s="6"/>
    </row>
    <row r="25" spans="1:28" ht="9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9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1" ht="9.75" customHeight="1">
      <c r="A27" s="6"/>
      <c r="B27" s="6"/>
      <c r="C27" s="24" t="s">
        <v>367</v>
      </c>
      <c r="D27" s="11" t="s">
        <v>368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9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9.75" customHeight="1">
      <c r="A29" s="6"/>
      <c r="B29" s="6"/>
      <c r="C29" s="6"/>
      <c r="D29" s="7" t="s">
        <v>369</v>
      </c>
      <c r="E29" s="6"/>
      <c r="F29" s="6"/>
      <c r="G29" s="6" t="s">
        <v>370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9.75" customHeight="1">
      <c r="A30" s="6"/>
      <c r="B30" s="6"/>
      <c r="C30" s="6"/>
      <c r="D30" s="7" t="s">
        <v>371</v>
      </c>
      <c r="E30" s="6"/>
      <c r="F30" s="6"/>
      <c r="G30" s="6" t="s">
        <v>372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9.75" customHeight="1">
      <c r="A31" s="6"/>
      <c r="B31" s="6"/>
      <c r="C31" s="6"/>
      <c r="D31" s="7" t="s">
        <v>373</v>
      </c>
      <c r="E31" s="6"/>
      <c r="F31" s="6"/>
      <c r="G31" s="6" t="s">
        <v>374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9.75" customHeight="1">
      <c r="A32" s="6"/>
      <c r="B32" s="6"/>
      <c r="C32" s="6"/>
      <c r="D32" s="7" t="s">
        <v>375</v>
      </c>
      <c r="E32" s="6"/>
      <c r="F32" s="6"/>
      <c r="G32" s="6" t="s">
        <v>376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9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9.75" customHeight="1">
      <c r="A34" s="6"/>
      <c r="B34" s="6"/>
      <c r="C34" s="6"/>
      <c r="D34" s="7" t="s">
        <v>377</v>
      </c>
      <c r="E34" s="6"/>
      <c r="F34" s="6"/>
      <c r="G34" s="6" t="s">
        <v>378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9.75" customHeight="1">
      <c r="A35" s="6"/>
      <c r="B35" s="6"/>
      <c r="C35" s="6"/>
      <c r="D35" s="7" t="s">
        <v>379</v>
      </c>
      <c r="E35" s="6"/>
      <c r="F35" s="6"/>
      <c r="G35" s="6" t="s">
        <v>380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9.75" customHeight="1">
      <c r="A36" s="6"/>
      <c r="B36" s="6"/>
      <c r="C36" s="6"/>
      <c r="D36" s="7" t="s">
        <v>381</v>
      </c>
      <c r="E36" s="6"/>
      <c r="F36" s="6"/>
      <c r="G36" s="6" t="s">
        <v>382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9.75" customHeight="1">
      <c r="A37" s="6"/>
      <c r="B37" s="6"/>
      <c r="C37" s="6"/>
      <c r="D37" s="7" t="s">
        <v>383</v>
      </c>
      <c r="E37" s="6"/>
      <c r="F37" s="6"/>
      <c r="G37" s="6" t="s">
        <v>384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9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8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1" ht="9.75" customHeight="1">
      <c r="A40" s="6"/>
      <c r="B40" s="6"/>
      <c r="C40" s="24" t="s">
        <v>385</v>
      </c>
      <c r="D40" s="11" t="s">
        <v>386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9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34" ht="9.75" customHeight="1">
      <c r="A42" s="6"/>
      <c r="B42" s="6"/>
      <c r="C42" s="72" t="s">
        <v>364</v>
      </c>
      <c r="D42" s="72"/>
      <c r="E42" s="115"/>
      <c r="F42" s="116" t="s">
        <v>364</v>
      </c>
      <c r="G42" s="72"/>
      <c r="H42" s="72"/>
      <c r="I42" s="72"/>
      <c r="J42" s="115"/>
      <c r="K42" s="116" t="s">
        <v>387</v>
      </c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115"/>
      <c r="W42" s="72" t="s">
        <v>388</v>
      </c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53" ht="9.75" customHeight="1">
      <c r="A43" s="6"/>
      <c r="B43" s="6"/>
      <c r="C43" s="105" t="s">
        <v>389</v>
      </c>
      <c r="D43" s="105"/>
      <c r="E43" s="106"/>
      <c r="F43" s="107" t="s">
        <v>390</v>
      </c>
      <c r="G43" s="108"/>
      <c r="H43" s="117" t="s">
        <v>391</v>
      </c>
      <c r="I43" s="118"/>
      <c r="J43" s="119"/>
      <c r="K43" s="120" t="s">
        <v>369</v>
      </c>
      <c r="L43" s="121"/>
      <c r="M43" s="121"/>
      <c r="N43" s="121" t="s">
        <v>371</v>
      </c>
      <c r="O43" s="121"/>
      <c r="P43" s="121"/>
      <c r="Q43" s="121" t="s">
        <v>373</v>
      </c>
      <c r="R43" s="121"/>
      <c r="S43" s="136"/>
      <c r="T43" s="120" t="s">
        <v>392</v>
      </c>
      <c r="U43" s="121"/>
      <c r="V43" s="137"/>
      <c r="W43" s="120" t="s">
        <v>377</v>
      </c>
      <c r="X43" s="121"/>
      <c r="Y43" s="121"/>
      <c r="Z43" s="121" t="s">
        <v>379</v>
      </c>
      <c r="AA43" s="121"/>
      <c r="AB43" s="121"/>
      <c r="AC43" s="121" t="s">
        <v>381</v>
      </c>
      <c r="AD43" s="121"/>
      <c r="AE43" s="136"/>
      <c r="AF43" s="120" t="s">
        <v>393</v>
      </c>
      <c r="AG43" s="121"/>
      <c r="AH43" s="136"/>
      <c r="AO43" s="148" t="s">
        <v>439</v>
      </c>
      <c r="AP43" s="148"/>
      <c r="AR43" s="148" t="s">
        <v>394</v>
      </c>
      <c r="AS43" s="148"/>
      <c r="AT43" s="148" t="s">
        <v>395</v>
      </c>
      <c r="AU43" s="148"/>
      <c r="AV43" s="148" t="s">
        <v>396</v>
      </c>
      <c r="AW43" s="148"/>
      <c r="AX43" s="148" t="s">
        <v>397</v>
      </c>
      <c r="AY43" s="148"/>
      <c r="BA43" s="30" t="s">
        <v>398</v>
      </c>
    </row>
    <row r="44" spans="1:34" ht="9.75" customHeight="1">
      <c r="A44" s="6"/>
      <c r="B44" s="6"/>
      <c r="C44" s="105"/>
      <c r="D44" s="105"/>
      <c r="E44" s="106"/>
      <c r="F44" s="109" t="s">
        <v>399</v>
      </c>
      <c r="G44" s="110"/>
      <c r="H44" s="133" t="s">
        <v>400</v>
      </c>
      <c r="I44" s="134"/>
      <c r="J44" s="135"/>
      <c r="K44" s="129" t="str">
        <f>upsForce(R18)</f>
        <v>kgf</v>
      </c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1"/>
      <c r="W44" s="129" t="str">
        <f>upsMoment(R18)</f>
        <v>kgf.m</v>
      </c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</row>
    <row r="45" spans="1:56" ht="12" customHeight="1">
      <c r="A45" s="6"/>
      <c r="B45" s="6"/>
      <c r="C45" s="111" t="s">
        <v>401</v>
      </c>
      <c r="D45" s="111"/>
      <c r="E45" s="112"/>
      <c r="F45" s="116" t="str">
        <f>AO45</f>
        <v>48"</v>
      </c>
      <c r="G45" s="199"/>
      <c r="H45" s="141">
        <f>IF(AO45="","",IF(AJ45="pipe",pipe(M22,M23,AO45,AO46,1),AJ46+2*AM46))</f>
        <v>1230</v>
      </c>
      <c r="I45" s="142"/>
      <c r="J45" s="143"/>
      <c r="K45" s="185">
        <f>IF(AO45="","",T45*H64/100)</f>
        <v>11522.30602517205</v>
      </c>
      <c r="L45" s="180"/>
      <c r="M45" s="186"/>
      <c r="N45" s="179">
        <f>IF(AO45="","",((T45^2-K45^2)/2)^0.5)</f>
        <v>16168.779554164927</v>
      </c>
      <c r="O45" s="180"/>
      <c r="P45" s="186"/>
      <c r="Q45" s="179">
        <f>IF(AO45="","",N45)</f>
        <v>16168.779554164927</v>
      </c>
      <c r="R45" s="180"/>
      <c r="S45" s="180"/>
      <c r="T45" s="125">
        <f>IF(AO45="","",AX45*BA45*H46*IF(AJ45="pipe",M24,R24)/AT45)</f>
        <v>25605.124500382335</v>
      </c>
      <c r="U45" s="126"/>
      <c r="V45" s="132"/>
      <c r="W45" s="185">
        <f>IF(AO45="","",AF45*H65/100)</f>
        <v>38907.140211103746</v>
      </c>
      <c r="X45" s="180"/>
      <c r="Y45" s="186"/>
      <c r="Z45" s="179">
        <f>IF(AO45="","",((AF45^2-W45^2)/2)^0.5)</f>
        <v>24262.864761520963</v>
      </c>
      <c r="AA45" s="180"/>
      <c r="AB45" s="186"/>
      <c r="AC45" s="179">
        <f>IF(AO45="","",Z45)</f>
        <v>24262.864761520963</v>
      </c>
      <c r="AD45" s="180"/>
      <c r="AE45" s="180"/>
      <c r="AF45" s="125">
        <f>IF(AO45="","",(AX45*BC45)^2*H46*IF(AJ45="pipe",M24,R24)/AV45)</f>
        <v>51876.186948138326</v>
      </c>
      <c r="AG45" s="126"/>
      <c r="AH45" s="126"/>
      <c r="AI45" s="25"/>
      <c r="AJ45" s="25" t="s">
        <v>436</v>
      </c>
      <c r="AK45" s="25"/>
      <c r="AL45" s="25"/>
      <c r="AM45" s="25"/>
      <c r="AN45" s="25"/>
      <c r="AO45" s="113" t="s">
        <v>441</v>
      </c>
      <c r="AP45" s="113"/>
      <c r="AQ45" s="25"/>
      <c r="AR45" s="25" t="str">
        <f>IF(AO45="","*",IF(OR(M22="ASTM",M22="ASME"),AO45,npsconv(M22,AO45,1)))</f>
        <v>48"</v>
      </c>
      <c r="AS45" s="25">
        <f>IF(AO45="","*",npsconv("ASTM",AR45,2))</f>
        <v>48</v>
      </c>
      <c r="AT45" s="66">
        <f>IF(AO45="","",IF(AS45&lt;=AK64,AK65,IF(AS45&lt;=AM64,AM65,AO65)))</f>
        <v>5.88</v>
      </c>
      <c r="AU45" s="66"/>
      <c r="AV45" s="66">
        <f>IF(AO45="","",IF(AS45&lt;=AK64,AK66,IF(AS45&lt;=AM64,AM66,AO66)))</f>
        <v>18.83</v>
      </c>
      <c r="AW45" s="66"/>
      <c r="AX45" s="66">
        <f>IF(AO45="","",IF(AS45&lt;=AK64,AS45+1,IF(AS45&lt;=AM64,AS45,(AS45+16)/3)))</f>
        <v>21.333333333333332</v>
      </c>
      <c r="AY45" s="66"/>
      <c r="AZ45" s="25"/>
      <c r="BA45" s="193">
        <v>0.3346</v>
      </c>
      <c r="BB45" s="193"/>
      <c r="BC45" s="193">
        <v>0.319</v>
      </c>
      <c r="BD45" s="193"/>
    </row>
    <row r="46" spans="1:42" ht="12" customHeight="1">
      <c r="A46" s="6"/>
      <c r="B46" s="6"/>
      <c r="C46" s="170"/>
      <c r="D46" s="170"/>
      <c r="E46" s="171"/>
      <c r="F46" s="200" t="str">
        <f>IF(AO45="","",IF(AJ45="pipe",AO46,"---"))</f>
        <v>---</v>
      </c>
      <c r="G46" s="201"/>
      <c r="H46" s="102">
        <f>IF(AO45="","",IF(AJ45="pipe",pipe(M22,M23,AO45,AO46,2),AM46))</f>
        <v>15</v>
      </c>
      <c r="I46" s="103"/>
      <c r="J46" s="104"/>
      <c r="K46" s="187"/>
      <c r="L46" s="184"/>
      <c r="M46" s="188"/>
      <c r="N46" s="183"/>
      <c r="O46" s="184"/>
      <c r="P46" s="188"/>
      <c r="Q46" s="183"/>
      <c r="R46" s="184"/>
      <c r="S46" s="184"/>
      <c r="T46" s="168"/>
      <c r="U46" s="165"/>
      <c r="V46" s="172"/>
      <c r="W46" s="187"/>
      <c r="X46" s="184"/>
      <c r="Y46" s="188"/>
      <c r="Z46" s="183"/>
      <c r="AA46" s="184"/>
      <c r="AB46" s="188"/>
      <c r="AC46" s="183"/>
      <c r="AD46" s="184"/>
      <c r="AE46" s="184"/>
      <c r="AF46" s="168"/>
      <c r="AG46" s="165"/>
      <c r="AH46" s="165"/>
      <c r="AI46" s="45" t="s">
        <v>437</v>
      </c>
      <c r="AJ46" s="68">
        <v>1200</v>
      </c>
      <c r="AK46" s="68"/>
      <c r="AL46" s="8" t="s">
        <v>310</v>
      </c>
      <c r="AM46" s="29">
        <v>15</v>
      </c>
      <c r="AO46" s="195" t="s">
        <v>329</v>
      </c>
      <c r="AP46" s="195"/>
    </row>
    <row r="47" spans="1:56" ht="12" customHeight="1">
      <c r="A47" s="6"/>
      <c r="B47" s="6"/>
      <c r="C47" s="111"/>
      <c r="D47" s="111"/>
      <c r="E47" s="112"/>
      <c r="F47" s="202" t="str">
        <f>AO47</f>
        <v>36"</v>
      </c>
      <c r="G47" s="203"/>
      <c r="H47" s="141">
        <f>IF(AO47="","",IF(AJ47="pipe",pipe(M22,M23,AO47,AO48,1),AJ48+2*AM48))</f>
        <v>930</v>
      </c>
      <c r="I47" s="142"/>
      <c r="J47" s="143"/>
      <c r="K47" s="185">
        <f>IF(AO47="","",T47*H64/100)</f>
        <v>9361.873645452291</v>
      </c>
      <c r="L47" s="180"/>
      <c r="M47" s="186"/>
      <c r="N47" s="179">
        <f>IF(AO47="","",((T47^2-K47^2)/2)^0.5)</f>
        <v>13137.133387759002</v>
      </c>
      <c r="O47" s="180"/>
      <c r="P47" s="186"/>
      <c r="Q47" s="179">
        <f>IF(AO47="","",N47)</f>
        <v>13137.133387759002</v>
      </c>
      <c r="R47" s="180"/>
      <c r="S47" s="180"/>
      <c r="T47" s="125">
        <f>IF(AO47="","",AX47*BA47*H48*IF(AJ47="pipe",M24,R24)/AT47)</f>
        <v>20804.163656560646</v>
      </c>
      <c r="U47" s="126"/>
      <c r="V47" s="132"/>
      <c r="W47" s="185">
        <f>IF(AO47="","",AF47*H65/100)</f>
        <v>25684.79177998645</v>
      </c>
      <c r="X47" s="180"/>
      <c r="Y47" s="186"/>
      <c r="Z47" s="179">
        <f>IF(AO47="","",((AF47^2-W47^2)/2)^0.5)</f>
        <v>16017.28181522282</v>
      </c>
      <c r="AA47" s="180"/>
      <c r="AB47" s="186"/>
      <c r="AC47" s="179">
        <f>IF(AO47="","",Z47)</f>
        <v>16017.28181522282</v>
      </c>
      <c r="AD47" s="180"/>
      <c r="AE47" s="180"/>
      <c r="AF47" s="125">
        <f>IF(AO47="","",(AX47*BC47)^2*H48*IF(AJ47="pipe",M24,R24)/AV47)</f>
        <v>34246.389039981936</v>
      </c>
      <c r="AG47" s="126"/>
      <c r="AH47" s="126"/>
      <c r="AI47" s="25"/>
      <c r="AJ47" s="25" t="s">
        <v>436</v>
      </c>
      <c r="AK47" s="25"/>
      <c r="AL47" s="25"/>
      <c r="AM47" s="25"/>
      <c r="AN47" s="25"/>
      <c r="AO47" s="113" t="s">
        <v>440</v>
      </c>
      <c r="AP47" s="113"/>
      <c r="AQ47" s="25"/>
      <c r="AR47" s="25" t="str">
        <f>IF(AO47="","*",IF(OR(M22="ASTM",M22="ASME"),AO47,npsconv(M22,AO47,1)))</f>
        <v>36"</v>
      </c>
      <c r="AS47" s="25">
        <f>IF(AO47="","*",npsconv("ASTM",AR47,2))</f>
        <v>36</v>
      </c>
      <c r="AT47" s="66">
        <f>IF(AO47="","",IF(AS47&lt;=AK64,AK65,IF(AS47&lt;=AM64,AM65,AO65)))</f>
        <v>5.88</v>
      </c>
      <c r="AU47" s="66"/>
      <c r="AV47" s="66">
        <f>IF(AO47="","",IF(AS47&lt;=AK64,AK66,IF(AS47&lt;=AM64,AM66,AO66)))</f>
        <v>18.83</v>
      </c>
      <c r="AW47" s="66"/>
      <c r="AX47" s="66">
        <f>IF(AO47="","",IF(AS47&lt;=AK64,AS47+1,IF(AS47&lt;=AM64,AS47,(AS47+16)/3)))</f>
        <v>17.333333333333332</v>
      </c>
      <c r="AY47" s="66"/>
      <c r="AZ47" s="25"/>
      <c r="BA47" s="72">
        <f>BA45</f>
        <v>0.3346</v>
      </c>
      <c r="BB47" s="72"/>
      <c r="BC47" s="72">
        <f>BC45</f>
        <v>0.319</v>
      </c>
      <c r="BD47" s="72"/>
    </row>
    <row r="48" spans="1:56" ht="12" customHeight="1">
      <c r="A48" s="6"/>
      <c r="B48" s="6"/>
      <c r="C48" s="79"/>
      <c r="D48" s="79"/>
      <c r="E48" s="80"/>
      <c r="F48" s="204" t="str">
        <f>IF(AO47="","",IF(AJ47="pipe",AO48,"---"))</f>
        <v>---</v>
      </c>
      <c r="G48" s="205"/>
      <c r="H48" s="102">
        <f>IF(AO47="","",IF(AJ47="pipe",pipe(M22,M23,AO47,AO48,2),AM48))</f>
        <v>15</v>
      </c>
      <c r="I48" s="103"/>
      <c r="J48" s="104"/>
      <c r="K48" s="187"/>
      <c r="L48" s="184"/>
      <c r="M48" s="188"/>
      <c r="N48" s="183"/>
      <c r="O48" s="184"/>
      <c r="P48" s="188"/>
      <c r="Q48" s="183"/>
      <c r="R48" s="184"/>
      <c r="S48" s="184"/>
      <c r="T48" s="98"/>
      <c r="U48" s="92"/>
      <c r="V48" s="96"/>
      <c r="W48" s="187"/>
      <c r="X48" s="184"/>
      <c r="Y48" s="188"/>
      <c r="Z48" s="183"/>
      <c r="AA48" s="184"/>
      <c r="AB48" s="188"/>
      <c r="AC48" s="183"/>
      <c r="AD48" s="184"/>
      <c r="AE48" s="184"/>
      <c r="AF48" s="98"/>
      <c r="AG48" s="92"/>
      <c r="AH48" s="92"/>
      <c r="AI48" s="46" t="s">
        <v>437</v>
      </c>
      <c r="AJ48" s="198">
        <v>900</v>
      </c>
      <c r="AK48" s="198"/>
      <c r="AL48" s="41" t="s">
        <v>310</v>
      </c>
      <c r="AM48" s="47">
        <v>15</v>
      </c>
      <c r="AN48" s="48"/>
      <c r="AO48" s="194" t="s">
        <v>329</v>
      </c>
      <c r="AP48" s="194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</row>
    <row r="49" spans="1:56" ht="12" customHeight="1">
      <c r="A49" s="6"/>
      <c r="B49" s="6"/>
      <c r="C49" s="170"/>
      <c r="D49" s="170"/>
      <c r="E49" s="171"/>
      <c r="F49" s="206" t="str">
        <f>AO49</f>
        <v>20"</v>
      </c>
      <c r="G49" s="207"/>
      <c r="H49" s="141">
        <f>IF(AO49="","",IF(AJ49="pipe",pipe(M22,M23,AO49,AO50,1),AJ50+2*AM50))</f>
        <v>530</v>
      </c>
      <c r="I49" s="142"/>
      <c r="J49" s="143"/>
      <c r="K49" s="185">
        <f>IF(AO49="","",T49*H64/100)</f>
        <v>6481.297139159279</v>
      </c>
      <c r="L49" s="180"/>
      <c r="M49" s="186"/>
      <c r="N49" s="179">
        <f>IF(AO49="","",((T49^2-K49^2)/2)^0.5)</f>
        <v>9094.938499217773</v>
      </c>
      <c r="O49" s="180"/>
      <c r="P49" s="186"/>
      <c r="Q49" s="179">
        <f>IF(AO49="","",N49)</f>
        <v>9094.938499217773</v>
      </c>
      <c r="R49" s="180"/>
      <c r="S49" s="180"/>
      <c r="T49" s="166">
        <f>IF(AO49="","",AX49*BA49*H50*IF(AJ49="pipe",M24,R24)/AT49)</f>
        <v>14402.882531465064</v>
      </c>
      <c r="U49" s="167"/>
      <c r="V49" s="173"/>
      <c r="W49" s="185">
        <f>IF(AO49="","",AF49*H65/100)</f>
        <v>12310.462332419545</v>
      </c>
      <c r="X49" s="180"/>
      <c r="Y49" s="186"/>
      <c r="Z49" s="179">
        <f>IF(AO49="","",((AF49^2-W49^2)/2)^0.5)</f>
        <v>7676.922053449994</v>
      </c>
      <c r="AA49" s="180"/>
      <c r="AB49" s="186"/>
      <c r="AC49" s="179">
        <f>IF(AO49="","",Z49)</f>
        <v>7676.922053449994</v>
      </c>
      <c r="AD49" s="180"/>
      <c r="AE49" s="180"/>
      <c r="AF49" s="166">
        <f>IF(AO49="","",(AX49*BC49)^2*H50*IF(AJ49="pipe",M24,R24)/AV49)</f>
        <v>16413.949776559395</v>
      </c>
      <c r="AG49" s="167"/>
      <c r="AH49" s="167"/>
      <c r="AJ49" s="3" t="s">
        <v>436</v>
      </c>
      <c r="AO49" s="196" t="s">
        <v>222</v>
      </c>
      <c r="AP49" s="196"/>
      <c r="AR49" s="3" t="str">
        <f>IF(AO49="","*",IF(OR(M22="ASTM",M22="ASME"),AO49,npsconv(M22,AO49,1)))</f>
        <v>20"</v>
      </c>
      <c r="AS49" s="3">
        <f>IF(AO49="","*",npsconv("ASTM",AR49,2))</f>
        <v>20</v>
      </c>
      <c r="AT49" s="57">
        <f>IF(AO49="","",IF(AS49&lt;=AK64,AK65,IF(AS49&lt;=AM64,AM65,AO65)))</f>
        <v>5.88</v>
      </c>
      <c r="AU49" s="57"/>
      <c r="AV49" s="57">
        <f>IF(AO49="","",IF(AS49&lt;=AK64,AK66,IF(AS49&lt;=AM64,AM66,AO66)))</f>
        <v>18.83</v>
      </c>
      <c r="AW49" s="57"/>
      <c r="AX49" s="57">
        <f>IF(AO49="","",IF(AS49&lt;=AK64,AS49+1,IF(AS49&lt;=AM64,AS49,(AS49+16)/3)))</f>
        <v>12</v>
      </c>
      <c r="AY49" s="57"/>
      <c r="BA49" s="71">
        <f>BA45</f>
        <v>0.3346</v>
      </c>
      <c r="BB49" s="71"/>
      <c r="BC49" s="71">
        <f>BC45</f>
        <v>0.319</v>
      </c>
      <c r="BD49" s="71"/>
    </row>
    <row r="50" spans="1:42" ht="12" customHeight="1">
      <c r="A50" s="6"/>
      <c r="B50" s="6"/>
      <c r="C50" s="170"/>
      <c r="D50" s="170"/>
      <c r="E50" s="171"/>
      <c r="F50" s="200" t="str">
        <f>IF(AO49="","",IF(AJ49="pipe",AO50,"---"))</f>
        <v>---</v>
      </c>
      <c r="G50" s="201"/>
      <c r="H50" s="102">
        <f>IF(AO49="","",IF(AJ49="pipe",pipe(M22,M23,AO49,AO50,2),AM50))</f>
        <v>15</v>
      </c>
      <c r="I50" s="103"/>
      <c r="J50" s="104"/>
      <c r="K50" s="187"/>
      <c r="L50" s="184"/>
      <c r="M50" s="188"/>
      <c r="N50" s="183"/>
      <c r="O50" s="184"/>
      <c r="P50" s="188"/>
      <c r="Q50" s="183"/>
      <c r="R50" s="184"/>
      <c r="S50" s="184"/>
      <c r="T50" s="168"/>
      <c r="U50" s="165"/>
      <c r="V50" s="172"/>
      <c r="W50" s="187"/>
      <c r="X50" s="184"/>
      <c r="Y50" s="188"/>
      <c r="Z50" s="183"/>
      <c r="AA50" s="184"/>
      <c r="AB50" s="188"/>
      <c r="AC50" s="183"/>
      <c r="AD50" s="184"/>
      <c r="AE50" s="184"/>
      <c r="AF50" s="168"/>
      <c r="AG50" s="165"/>
      <c r="AH50" s="165"/>
      <c r="AI50" s="45" t="s">
        <v>437</v>
      </c>
      <c r="AJ50" s="68">
        <v>500</v>
      </c>
      <c r="AK50" s="68"/>
      <c r="AL50" s="8" t="s">
        <v>310</v>
      </c>
      <c r="AM50" s="29">
        <v>15</v>
      </c>
      <c r="AO50" s="197" t="s">
        <v>329</v>
      </c>
      <c r="AP50" s="197"/>
    </row>
    <row r="51" spans="1:56" ht="12" customHeight="1">
      <c r="A51" s="6"/>
      <c r="B51" s="6"/>
      <c r="C51" s="111"/>
      <c r="D51" s="111"/>
      <c r="E51" s="112"/>
      <c r="F51" s="202" t="str">
        <f>AO51</f>
        <v>16"</v>
      </c>
      <c r="G51" s="203"/>
      <c r="H51" s="141">
        <f>IF(AO51="","",IF(AJ51="pipe",pipe(M22,M23,AO51,AO52,1),AJ52+2*AM52))</f>
        <v>406.4</v>
      </c>
      <c r="I51" s="142"/>
      <c r="J51" s="143"/>
      <c r="K51" s="185">
        <f>IF(AO51="","",T51*H64/100)</f>
        <v>4170.498665811025</v>
      </c>
      <c r="L51" s="180"/>
      <c r="M51" s="186"/>
      <c r="N51" s="179">
        <f>IF(AO51="","",((T51^2-K51^2)/2)^0.5)</f>
        <v>5852.289759629995</v>
      </c>
      <c r="O51" s="180"/>
      <c r="P51" s="186"/>
      <c r="Q51" s="179">
        <f>IF(AO51="","",N51)</f>
        <v>5852.289759629995</v>
      </c>
      <c r="R51" s="180"/>
      <c r="S51" s="180"/>
      <c r="T51" s="125">
        <f>IF(AO51="","",AX51*BA51*H52*IF(AJ51="pipe",M24,R24)/AT51)</f>
        <v>9267.774812913387</v>
      </c>
      <c r="U51" s="126"/>
      <c r="V51" s="132"/>
      <c r="W51" s="185">
        <f>IF(AO51="","",AF51*H65/100)</f>
        <v>7041.2196997045</v>
      </c>
      <c r="X51" s="180"/>
      <c r="Y51" s="186"/>
      <c r="Z51" s="179">
        <f>IF(AO51="","",((AF51^2-W51^2)/2)^0.5)</f>
        <v>4390.971950216256</v>
      </c>
      <c r="AA51" s="180"/>
      <c r="AB51" s="186"/>
      <c r="AC51" s="179">
        <f>IF(AO51="","",Z51)</f>
        <v>4390.971950216256</v>
      </c>
      <c r="AD51" s="180"/>
      <c r="AE51" s="180"/>
      <c r="AF51" s="125">
        <f>IF(AO51="","",(AX51*BC51)^2*H52*IF(AJ51="pipe",M24,R24)/AV51)</f>
        <v>9388.292932939334</v>
      </c>
      <c r="AG51" s="126"/>
      <c r="AH51" s="126"/>
      <c r="AI51" s="25"/>
      <c r="AJ51" s="25" t="s">
        <v>438</v>
      </c>
      <c r="AK51" s="25"/>
      <c r="AL51" s="25"/>
      <c r="AM51" s="25"/>
      <c r="AN51" s="25"/>
      <c r="AO51" s="113" t="s">
        <v>221</v>
      </c>
      <c r="AP51" s="113"/>
      <c r="AQ51" s="25"/>
      <c r="AR51" s="25" t="str">
        <f>IF(AO51="","*",IF(OR(M22="ASTM",M22="ASME"),AO51,npsconv(M22,AO51,1)))</f>
        <v>16"</v>
      </c>
      <c r="AS51" s="25">
        <f>IF(AO51="","*",npsconv("ASTM",AR51,2))</f>
        <v>16</v>
      </c>
      <c r="AT51" s="66">
        <f>IF(AO51="","",IF(AS51&lt;=AK64,AK65,IF(AS51&lt;=AM64,AM65,AO65)))</f>
        <v>5.88</v>
      </c>
      <c r="AU51" s="66"/>
      <c r="AV51" s="66">
        <f>IF(AO51="","",IF(AS51&lt;=AK64,AK66,IF(AS51&lt;=AM64,AM66,AO66)))</f>
        <v>18.83</v>
      </c>
      <c r="AW51" s="66"/>
      <c r="AX51" s="66">
        <f>IF(AO51="","",IF(AS51&lt;=AK64,AS51+1,IF(AS51&lt;=AM64,AS51,(AS51+16)/3)))</f>
        <v>10.666666666666666</v>
      </c>
      <c r="AY51" s="66"/>
      <c r="AZ51" s="25"/>
      <c r="BA51" s="72">
        <f>BA45</f>
        <v>0.3346</v>
      </c>
      <c r="BB51" s="72"/>
      <c r="BC51" s="72">
        <f>BC45</f>
        <v>0.319</v>
      </c>
      <c r="BD51" s="72"/>
    </row>
    <row r="52" spans="1:56" ht="12" customHeight="1">
      <c r="A52" s="6"/>
      <c r="B52" s="6"/>
      <c r="C52" s="79"/>
      <c r="D52" s="79"/>
      <c r="E52" s="80"/>
      <c r="F52" s="204" t="str">
        <f>IF(AO51="","",IF(AJ51="pipe",AO52,"---"))</f>
        <v>Sch.40</v>
      </c>
      <c r="G52" s="205"/>
      <c r="H52" s="102">
        <f>IF(AO51="","",IF(AJ51="pipe",pipe(M22,M23,AO51,AO52,2),AM52))</f>
        <v>12.7</v>
      </c>
      <c r="I52" s="103"/>
      <c r="J52" s="104"/>
      <c r="K52" s="187"/>
      <c r="L52" s="184"/>
      <c r="M52" s="188"/>
      <c r="N52" s="183"/>
      <c r="O52" s="184"/>
      <c r="P52" s="188"/>
      <c r="Q52" s="183"/>
      <c r="R52" s="184"/>
      <c r="S52" s="184"/>
      <c r="T52" s="98"/>
      <c r="U52" s="92"/>
      <c r="V52" s="96"/>
      <c r="W52" s="187"/>
      <c r="X52" s="184"/>
      <c r="Y52" s="188"/>
      <c r="Z52" s="183"/>
      <c r="AA52" s="184"/>
      <c r="AB52" s="188"/>
      <c r="AC52" s="183"/>
      <c r="AD52" s="184"/>
      <c r="AE52" s="184"/>
      <c r="AF52" s="98"/>
      <c r="AG52" s="92"/>
      <c r="AH52" s="92"/>
      <c r="AI52" s="46" t="s">
        <v>437</v>
      </c>
      <c r="AJ52" s="198">
        <v>500</v>
      </c>
      <c r="AK52" s="198"/>
      <c r="AL52" s="41" t="s">
        <v>310</v>
      </c>
      <c r="AM52" s="47">
        <v>15</v>
      </c>
      <c r="AN52" s="48"/>
      <c r="AO52" s="194" t="s">
        <v>329</v>
      </c>
      <c r="AP52" s="194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</row>
    <row r="53" spans="1:56" ht="12" customHeight="1">
      <c r="A53" s="6"/>
      <c r="B53" s="6"/>
      <c r="C53" s="170"/>
      <c r="D53" s="170"/>
      <c r="E53" s="171"/>
      <c r="F53" s="206" t="str">
        <f>AO53</f>
        <v>12"</v>
      </c>
      <c r="G53" s="207"/>
      <c r="H53" s="141">
        <f>IF(AO53="","",IF(AJ53="pipe",pipe(M22,M23,AO53,AO54,1),AJ54+2*AM54))</f>
        <v>323.84999999999997</v>
      </c>
      <c r="I53" s="142"/>
      <c r="J53" s="143"/>
      <c r="K53" s="185">
        <f>IF(AO53="","",T53*H64/100)</f>
        <v>2963.139302058733</v>
      </c>
      <c r="L53" s="180"/>
      <c r="M53" s="186"/>
      <c r="N53" s="179">
        <f>IF(AO53="","",((T53^2-K53^2)/2)^0.5)</f>
        <v>4158.0518742171125</v>
      </c>
      <c r="O53" s="180"/>
      <c r="P53" s="186"/>
      <c r="Q53" s="179">
        <f>IF(AO53="","",N53)</f>
        <v>4158.0518742171125</v>
      </c>
      <c r="R53" s="180"/>
      <c r="S53" s="180"/>
      <c r="T53" s="166">
        <f>IF(AO53="","",AX53*BA53*H54*IF(AJ53="pipe",M24,R24)/AT53)</f>
        <v>6584.754004574962</v>
      </c>
      <c r="U53" s="167"/>
      <c r="V53" s="173"/>
      <c r="W53" s="185">
        <f>IF(AO53="","",AF53*H65/100)</f>
        <v>4377.438272060043</v>
      </c>
      <c r="X53" s="180"/>
      <c r="Y53" s="186"/>
      <c r="Z53" s="179">
        <f>IF(AO53="","",((AF53^2-W53^2)/2)^0.5)</f>
        <v>2729.8123743000697</v>
      </c>
      <c r="AA53" s="180"/>
      <c r="AB53" s="186"/>
      <c r="AC53" s="179">
        <f>IF(AO53="","",Z53)</f>
        <v>2729.8123743000697</v>
      </c>
      <c r="AD53" s="180"/>
      <c r="AE53" s="180"/>
      <c r="AF53" s="166">
        <f>IF(AO53="","",(AX53*BC53)^2*H54*IF(AJ53="pipe",M24,R24)/AV53)</f>
        <v>5836.584362746724</v>
      </c>
      <c r="AG53" s="167"/>
      <c r="AH53" s="167"/>
      <c r="AJ53" s="3" t="s">
        <v>438</v>
      </c>
      <c r="AO53" s="196" t="s">
        <v>220</v>
      </c>
      <c r="AP53" s="196"/>
      <c r="AR53" s="3" t="str">
        <f>IF(AO53="","*",IF(OR(M22="ASTM",M22="ASME"),AO53,npsconv(M22,AO53,1)))</f>
        <v>12"</v>
      </c>
      <c r="AS53" s="3">
        <f>IF(AO53="","*",npsconv("ASTM",AR53,2))</f>
        <v>12</v>
      </c>
      <c r="AT53" s="57">
        <f>IF(AO53="","",IF(AS53&lt;=AK64,AK65,IF(AS53&lt;=AM64,AM65,AO65)))</f>
        <v>5.88</v>
      </c>
      <c r="AU53" s="57"/>
      <c r="AV53" s="57">
        <f>IF(AO53="","",IF(AS53&lt;=AK64,AK66,IF(AS53&lt;=AM64,AM66,AO66)))</f>
        <v>18.83</v>
      </c>
      <c r="AW53" s="57"/>
      <c r="AX53" s="57">
        <f>IF(AO53="","",IF(AS53&lt;=AK64,AS53+1,IF(AS53&lt;=AM64,AS53,(AS53+16)/3)))</f>
        <v>9.333333333333334</v>
      </c>
      <c r="AY53" s="57"/>
      <c r="BA53" s="71">
        <f>BA45</f>
        <v>0.3346</v>
      </c>
      <c r="BB53" s="71"/>
      <c r="BC53" s="71">
        <f>BC45</f>
        <v>0.319</v>
      </c>
      <c r="BD53" s="71"/>
    </row>
    <row r="54" spans="1:42" ht="12" customHeight="1">
      <c r="A54" s="6"/>
      <c r="B54" s="6"/>
      <c r="C54" s="170"/>
      <c r="D54" s="170"/>
      <c r="E54" s="171"/>
      <c r="F54" s="200" t="str">
        <f>IF(AO53="","",IF(AJ53="pipe",AO54,"---"))</f>
        <v>Sch.40</v>
      </c>
      <c r="G54" s="201"/>
      <c r="H54" s="102">
        <f>IF(AO53="","",IF(AJ53="pipe",pipe(M22,M23,AO53,AO54,2),AM54))</f>
        <v>10.3124</v>
      </c>
      <c r="I54" s="103"/>
      <c r="J54" s="104"/>
      <c r="K54" s="187"/>
      <c r="L54" s="184"/>
      <c r="M54" s="188"/>
      <c r="N54" s="183"/>
      <c r="O54" s="184"/>
      <c r="P54" s="188"/>
      <c r="Q54" s="183"/>
      <c r="R54" s="184"/>
      <c r="S54" s="184"/>
      <c r="T54" s="168"/>
      <c r="U54" s="165"/>
      <c r="V54" s="172"/>
      <c r="W54" s="187"/>
      <c r="X54" s="184"/>
      <c r="Y54" s="188"/>
      <c r="Z54" s="183"/>
      <c r="AA54" s="184"/>
      <c r="AB54" s="188"/>
      <c r="AC54" s="183"/>
      <c r="AD54" s="184"/>
      <c r="AE54" s="184"/>
      <c r="AF54" s="168"/>
      <c r="AG54" s="165"/>
      <c r="AH54" s="165"/>
      <c r="AI54" s="45" t="s">
        <v>437</v>
      </c>
      <c r="AJ54" s="68">
        <v>500</v>
      </c>
      <c r="AK54" s="68"/>
      <c r="AL54" s="8" t="s">
        <v>310</v>
      </c>
      <c r="AM54" s="29">
        <v>15</v>
      </c>
      <c r="AO54" s="197" t="s">
        <v>329</v>
      </c>
      <c r="AP54" s="197"/>
    </row>
    <row r="55" spans="1:56" ht="12" customHeight="1">
      <c r="A55" s="6"/>
      <c r="B55" s="6"/>
      <c r="C55" s="111"/>
      <c r="D55" s="111"/>
      <c r="E55" s="112"/>
      <c r="F55" s="202" t="str">
        <f>AO55</f>
        <v>10"</v>
      </c>
      <c r="G55" s="203"/>
      <c r="H55" s="141">
        <f>IF(AO55="","",IF(AJ55="pipe",pipe(M22,M23,AO55,AO56,1),AJ56+2*AM56))</f>
        <v>273.05</v>
      </c>
      <c r="I55" s="142"/>
      <c r="J55" s="143"/>
      <c r="K55" s="185">
        <f>IF(AO55="","",T55*H64/100)</f>
        <v>2473.6270211591636</v>
      </c>
      <c r="L55" s="180"/>
      <c r="M55" s="186"/>
      <c r="N55" s="179">
        <f>IF(AO55="","",((T55^2-K55^2)/2)^0.5)</f>
        <v>3471.139363680541</v>
      </c>
      <c r="O55" s="180"/>
      <c r="P55" s="186"/>
      <c r="Q55" s="179">
        <f>IF(AO55="","",N55)</f>
        <v>3471.139363680541</v>
      </c>
      <c r="R55" s="180"/>
      <c r="S55" s="180"/>
      <c r="T55" s="125">
        <f>IF(AO55="","",AX55*BA55*H56*IF(AJ55="pipe",M24,R24)/AT55)</f>
        <v>5496.948935909252</v>
      </c>
      <c r="U55" s="126"/>
      <c r="V55" s="132"/>
      <c r="W55" s="185">
        <f>IF(AO55="","",AF55*H65/100)</f>
        <v>3393.262790439624</v>
      </c>
      <c r="X55" s="180"/>
      <c r="Y55" s="186"/>
      <c r="Z55" s="179">
        <f>IF(AO55="","",((AF55^2-W55^2)/2)^0.5)</f>
        <v>2116.071130852263</v>
      </c>
      <c r="AA55" s="180"/>
      <c r="AB55" s="186"/>
      <c r="AC55" s="179">
        <f>IF(AO55="","",Z55)</f>
        <v>2116.071130852263</v>
      </c>
      <c r="AD55" s="180"/>
      <c r="AE55" s="180"/>
      <c r="AF55" s="125">
        <f>IF(AO55="","",(AX55*BC55)^2*H56*IF(AJ55="pipe",M24,R24)/AV55)</f>
        <v>4524.350387252833</v>
      </c>
      <c r="AG55" s="126"/>
      <c r="AH55" s="126"/>
      <c r="AI55" s="25"/>
      <c r="AJ55" s="25" t="s">
        <v>438</v>
      </c>
      <c r="AK55" s="25"/>
      <c r="AL55" s="25"/>
      <c r="AM55" s="25"/>
      <c r="AN55" s="25"/>
      <c r="AO55" s="113" t="s">
        <v>442</v>
      </c>
      <c r="AP55" s="113"/>
      <c r="AQ55" s="25"/>
      <c r="AR55" s="25" t="str">
        <f>IF(AO55="","*",IF(OR(M22="ASTM",M22="ASME"),AO55,npsconv(M22,AO55,1)))</f>
        <v>10"</v>
      </c>
      <c r="AS55" s="25">
        <f>IF(AO55="","*",npsconv("ASTM",AR55,2))</f>
        <v>10</v>
      </c>
      <c r="AT55" s="66">
        <f>IF(AO55="","",IF(AS55&lt;=AK64,AK65,IF(AS55&lt;=AM64,AM65,AO65)))</f>
        <v>5.88</v>
      </c>
      <c r="AU55" s="66"/>
      <c r="AV55" s="66">
        <f>IF(AO55="","",IF(AS55&lt;=AK64,AK66,IF(AS55&lt;=AM64,AM66,AO66)))</f>
        <v>18.83</v>
      </c>
      <c r="AW55" s="66"/>
      <c r="AX55" s="66">
        <f>IF(AO55="","",IF(AS55&lt;=AK64,AS55+1,IF(AS55&lt;=AM64,AS55,(AS55+16)/3)))</f>
        <v>8.666666666666666</v>
      </c>
      <c r="AY55" s="66"/>
      <c r="AZ55" s="25"/>
      <c r="BA55" s="72">
        <f>BA45</f>
        <v>0.3346</v>
      </c>
      <c r="BB55" s="72"/>
      <c r="BC55" s="72">
        <f>BC45</f>
        <v>0.319</v>
      </c>
      <c r="BD55" s="72"/>
    </row>
    <row r="56" spans="1:56" ht="12" customHeight="1">
      <c r="A56" s="6"/>
      <c r="B56" s="6"/>
      <c r="C56" s="79"/>
      <c r="D56" s="79"/>
      <c r="E56" s="80"/>
      <c r="F56" s="204" t="str">
        <f>IF(AO55="","",IF(AJ55="pipe",AO56,"---"))</f>
        <v>Sch.40</v>
      </c>
      <c r="G56" s="205"/>
      <c r="H56" s="102">
        <f>IF(AO55="","",IF(AJ55="pipe",pipe(M22,M23,AO55,AO56,2),AM56))</f>
        <v>9.270999999999999</v>
      </c>
      <c r="I56" s="103"/>
      <c r="J56" s="104"/>
      <c r="K56" s="187"/>
      <c r="L56" s="184"/>
      <c r="M56" s="188"/>
      <c r="N56" s="183"/>
      <c r="O56" s="184"/>
      <c r="P56" s="188"/>
      <c r="Q56" s="183"/>
      <c r="R56" s="184"/>
      <c r="S56" s="184"/>
      <c r="T56" s="98"/>
      <c r="U56" s="92"/>
      <c r="V56" s="96"/>
      <c r="W56" s="187"/>
      <c r="X56" s="184"/>
      <c r="Y56" s="188"/>
      <c r="Z56" s="183"/>
      <c r="AA56" s="184"/>
      <c r="AB56" s="188"/>
      <c r="AC56" s="183"/>
      <c r="AD56" s="184"/>
      <c r="AE56" s="184"/>
      <c r="AF56" s="98"/>
      <c r="AG56" s="92"/>
      <c r="AH56" s="92"/>
      <c r="AI56" s="46" t="s">
        <v>437</v>
      </c>
      <c r="AJ56" s="198">
        <v>500</v>
      </c>
      <c r="AK56" s="198"/>
      <c r="AL56" s="41" t="s">
        <v>310</v>
      </c>
      <c r="AM56" s="47">
        <v>15</v>
      </c>
      <c r="AN56" s="48"/>
      <c r="AO56" s="194" t="s">
        <v>329</v>
      </c>
      <c r="AP56" s="194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</row>
    <row r="57" spans="1:56" ht="12" customHeight="1">
      <c r="A57" s="6"/>
      <c r="B57" s="6"/>
      <c r="C57" s="170"/>
      <c r="D57" s="170"/>
      <c r="E57" s="171"/>
      <c r="F57" s="174">
        <f>AO57</f>
      </c>
      <c r="G57" s="175"/>
      <c r="H57" s="141">
        <f>IF(AO57="","",IF(AJ57="pipe",pipe(M22,M23,AO57,AO58,1),AJ58+2*AM58))</f>
      </c>
      <c r="I57" s="142"/>
      <c r="J57" s="143"/>
      <c r="K57" s="185">
        <f>IF(AO57="","",T57*H64/100)</f>
      </c>
      <c r="L57" s="180"/>
      <c r="M57" s="186"/>
      <c r="N57" s="179">
        <f>IF(AO57="","",((T57^2-K57^2)/2)^0.5)</f>
      </c>
      <c r="O57" s="180"/>
      <c r="P57" s="186"/>
      <c r="Q57" s="179">
        <f>IF(AO57="","",N57)</f>
      </c>
      <c r="R57" s="180"/>
      <c r="S57" s="180"/>
      <c r="T57" s="166">
        <f>IF(AO57="","",AX57*BA57*H58*IF(AJ57="pipe",M24,R24)/AT57)</f>
      </c>
      <c r="U57" s="167"/>
      <c r="V57" s="173"/>
      <c r="W57" s="185">
        <f>IF(AO57="","",AF57*H65/100)</f>
      </c>
      <c r="X57" s="180"/>
      <c r="Y57" s="186"/>
      <c r="Z57" s="179">
        <f>IF(AO57="","",((AF57^2-W57^2)/2)^0.5)</f>
      </c>
      <c r="AA57" s="180"/>
      <c r="AB57" s="186"/>
      <c r="AC57" s="179">
        <f>IF(AO57="","",Z57)</f>
      </c>
      <c r="AD57" s="180"/>
      <c r="AE57" s="180"/>
      <c r="AF57" s="166">
        <f>IF(AO57="","",(AX57*BC57)^2*H58*IF(AJ57="pipe",M24,R24)/AV57)</f>
      </c>
      <c r="AG57" s="167"/>
      <c r="AH57" s="167"/>
      <c r="AJ57" s="3" t="s">
        <v>438</v>
      </c>
      <c r="AO57" s="196" t="s">
        <v>205</v>
      </c>
      <c r="AP57" s="196"/>
      <c r="AR57" s="3" t="str">
        <f>IF(AO57="","*",IF(OR(M22="ASTM",M22="ASME"),AO57,npsconv(M22,AO57,1)))</f>
        <v>*</v>
      </c>
      <c r="AS57" s="3" t="str">
        <f>IF(AO57="","*",npsconv("ASTM",AR57,2))</f>
        <v>*</v>
      </c>
      <c r="AT57" s="57">
        <f>IF(AO57="","",IF(AS57&lt;=AK64,AK65,IF(AS57&lt;=AM64,AM65,AO65)))</f>
      </c>
      <c r="AU57" s="57"/>
      <c r="AV57" s="57">
        <f>IF(AO57="","",IF(AS57&lt;=AK64,AK66,IF(AS57&lt;=AM64,AM66,AO66)))</f>
      </c>
      <c r="AW57" s="57"/>
      <c r="AX57" s="57">
        <f>IF(AO57="","",IF(AS57&lt;=AK64,AS57+1,IF(AS57&lt;=AM64,AS57,(AS57+16)/3)))</f>
      </c>
      <c r="AY57" s="57"/>
      <c r="BA57" s="71">
        <f>BA45</f>
        <v>0.3346</v>
      </c>
      <c r="BB57" s="71"/>
      <c r="BC57" s="71">
        <f>BC45</f>
        <v>0.319</v>
      </c>
      <c r="BD57" s="71"/>
    </row>
    <row r="58" spans="1:42" ht="12" customHeight="1">
      <c r="A58" s="6"/>
      <c r="B58" s="6"/>
      <c r="C58" s="79"/>
      <c r="D58" s="79"/>
      <c r="E58" s="80"/>
      <c r="F58" s="208">
        <f>IF(AO57="","",IF(AJ57="pipe",AO58,"---"))</f>
      </c>
      <c r="G58" s="161"/>
      <c r="H58" s="176">
        <f>IF(AO57="","",IF(AJ57="pipe",pipe(M22,M23,AO57,AO58,2),AM58))</f>
      </c>
      <c r="I58" s="177"/>
      <c r="J58" s="178"/>
      <c r="K58" s="189"/>
      <c r="L58" s="182"/>
      <c r="M58" s="190"/>
      <c r="N58" s="181"/>
      <c r="O58" s="182"/>
      <c r="P58" s="190"/>
      <c r="Q58" s="181"/>
      <c r="R58" s="182"/>
      <c r="S58" s="182"/>
      <c r="T58" s="98"/>
      <c r="U58" s="92"/>
      <c r="V58" s="96"/>
      <c r="W58" s="189"/>
      <c r="X58" s="182"/>
      <c r="Y58" s="190"/>
      <c r="Z58" s="181"/>
      <c r="AA58" s="182"/>
      <c r="AB58" s="190"/>
      <c r="AC58" s="181"/>
      <c r="AD58" s="182"/>
      <c r="AE58" s="182"/>
      <c r="AF58" s="98"/>
      <c r="AG58" s="92"/>
      <c r="AH58" s="92"/>
      <c r="AI58" s="45" t="s">
        <v>437</v>
      </c>
      <c r="AJ58" s="68">
        <v>500</v>
      </c>
      <c r="AK58" s="68"/>
      <c r="AL58" s="8" t="s">
        <v>310</v>
      </c>
      <c r="AM58" s="29">
        <v>15</v>
      </c>
      <c r="AO58" s="197" t="s">
        <v>333</v>
      </c>
      <c r="AP58" s="197"/>
    </row>
    <row r="59" spans="1:56" ht="9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</row>
    <row r="60" spans="1:28" ht="9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36" ht="9.75" customHeight="1">
      <c r="A61" s="6"/>
      <c r="B61" s="6"/>
      <c r="C61" s="6"/>
      <c r="D61" s="15" t="s">
        <v>402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Y61" s="30" t="s">
        <v>368</v>
      </c>
      <c r="AJ61" s="23" t="s">
        <v>403</v>
      </c>
    </row>
    <row r="62" spans="1:43" ht="9.75" customHeight="1">
      <c r="A62" s="6"/>
      <c r="B62" s="6"/>
      <c r="C62" s="6"/>
      <c r="D62" s="27" t="s">
        <v>357</v>
      </c>
      <c r="E62" s="7" t="s">
        <v>392</v>
      </c>
      <c r="F62" s="6"/>
      <c r="G62" s="6" t="s">
        <v>404</v>
      </c>
      <c r="H62" s="7" t="s">
        <v>405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Y62" s="23" t="s">
        <v>397</v>
      </c>
      <c r="Z62" s="3" t="s">
        <v>406</v>
      </c>
      <c r="AJ62" s="25"/>
      <c r="AK62" s="156" t="s">
        <v>407</v>
      </c>
      <c r="AL62" s="157"/>
      <c r="AM62" s="157"/>
      <c r="AN62" s="157"/>
      <c r="AO62" s="157"/>
      <c r="AP62" s="157"/>
      <c r="AQ62" s="157"/>
    </row>
    <row r="63" spans="1:43" ht="9.75" customHeight="1">
      <c r="A63" s="6"/>
      <c r="B63" s="6"/>
      <c r="C63" s="6"/>
      <c r="D63" s="27" t="s">
        <v>360</v>
      </c>
      <c r="E63" s="7" t="s">
        <v>393</v>
      </c>
      <c r="F63" s="6"/>
      <c r="G63" s="6" t="s">
        <v>404</v>
      </c>
      <c r="H63" s="7" t="s">
        <v>408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Y63" s="23" t="s">
        <v>400</v>
      </c>
      <c r="Z63" s="3" t="s">
        <v>409</v>
      </c>
      <c r="AJ63" s="6"/>
      <c r="AK63" s="38" t="s">
        <v>410</v>
      </c>
      <c r="AL63" s="39" t="s">
        <v>411</v>
      </c>
      <c r="AM63" s="40" t="s">
        <v>410</v>
      </c>
      <c r="AN63" s="40" t="s">
        <v>412</v>
      </c>
      <c r="AO63" s="38" t="s">
        <v>413</v>
      </c>
      <c r="AP63" s="40"/>
      <c r="AQ63" s="40"/>
    </row>
    <row r="64" spans="1:43" ht="9.75" customHeight="1">
      <c r="A64" s="6"/>
      <c r="B64" s="6"/>
      <c r="C64" s="6"/>
      <c r="D64" s="27" t="s">
        <v>367</v>
      </c>
      <c r="E64" s="7" t="s">
        <v>369</v>
      </c>
      <c r="F64" s="6"/>
      <c r="G64" s="6" t="s">
        <v>404</v>
      </c>
      <c r="H64" s="138">
        <v>45</v>
      </c>
      <c r="I64" s="138"/>
      <c r="J64" s="6" t="s">
        <v>414</v>
      </c>
      <c r="K64" s="7" t="s">
        <v>392</v>
      </c>
      <c r="L64" s="6"/>
      <c r="M64" s="6"/>
      <c r="N64" s="28" t="s">
        <v>415</v>
      </c>
      <c r="O64" s="42">
        <v>50</v>
      </c>
      <c r="P64" s="6" t="s">
        <v>414</v>
      </c>
      <c r="Q64" s="6"/>
      <c r="R64" s="6"/>
      <c r="S64" s="6"/>
      <c r="U64" s="6"/>
      <c r="Y64" s="23" t="s">
        <v>416</v>
      </c>
      <c r="Z64" s="3" t="s">
        <v>417</v>
      </c>
      <c r="AK64" s="158">
        <f>npsconv("ASTM",AL63,2)</f>
        <v>4</v>
      </c>
      <c r="AL64" s="159"/>
      <c r="AM64" s="159">
        <f>npsconv("ASTM",AN63,2)</f>
        <v>8</v>
      </c>
      <c r="AN64" s="159"/>
      <c r="AO64" s="159"/>
      <c r="AP64" s="159"/>
      <c r="AQ64" s="6"/>
    </row>
    <row r="65" spans="1:43" ht="9.75" customHeight="1">
      <c r="A65" s="6"/>
      <c r="B65" s="6"/>
      <c r="C65" s="6"/>
      <c r="D65" s="27" t="s">
        <v>385</v>
      </c>
      <c r="E65" s="7" t="s">
        <v>377</v>
      </c>
      <c r="F65" s="6"/>
      <c r="G65" s="6" t="s">
        <v>404</v>
      </c>
      <c r="H65" s="138">
        <v>75</v>
      </c>
      <c r="I65" s="138"/>
      <c r="J65" s="6" t="s">
        <v>414</v>
      </c>
      <c r="K65" s="7" t="s">
        <v>393</v>
      </c>
      <c r="L65" s="6"/>
      <c r="M65" s="6"/>
      <c r="N65" s="28" t="s">
        <v>415</v>
      </c>
      <c r="O65" s="42">
        <v>80</v>
      </c>
      <c r="P65" s="6" t="s">
        <v>414</v>
      </c>
      <c r="Q65" s="6"/>
      <c r="R65" s="6"/>
      <c r="S65" s="6"/>
      <c r="U65" s="6"/>
      <c r="Y65" s="23" t="s">
        <v>395</v>
      </c>
      <c r="Z65" s="3" t="s">
        <v>418</v>
      </c>
      <c r="AJ65" s="37" t="s">
        <v>395</v>
      </c>
      <c r="AK65" s="151">
        <v>9</v>
      </c>
      <c r="AL65" s="163"/>
      <c r="AM65" s="152">
        <v>7.06</v>
      </c>
      <c r="AN65" s="152"/>
      <c r="AO65" s="151">
        <v>5.88</v>
      </c>
      <c r="AP65" s="152"/>
      <c r="AQ65" s="31"/>
    </row>
    <row r="66" spans="1:43" ht="9.75" customHeight="1">
      <c r="A66" s="6"/>
      <c r="B66" s="6"/>
      <c r="C66" s="6"/>
      <c r="D66" s="27" t="s">
        <v>419</v>
      </c>
      <c r="E66" s="6" t="s">
        <v>420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Y66" s="23" t="s">
        <v>396</v>
      </c>
      <c r="Z66" s="3" t="s">
        <v>418</v>
      </c>
      <c r="AJ66" s="33" t="s">
        <v>396</v>
      </c>
      <c r="AK66" s="153">
        <v>25</v>
      </c>
      <c r="AL66" s="154"/>
      <c r="AM66" s="155">
        <v>23.53</v>
      </c>
      <c r="AN66" s="155"/>
      <c r="AO66" s="153">
        <v>18.83</v>
      </c>
      <c r="AP66" s="155"/>
      <c r="AQ66" s="32"/>
    </row>
    <row r="67" spans="1:43" ht="9.75" customHeight="1">
      <c r="A67" s="6"/>
      <c r="B67" s="6"/>
      <c r="C67" s="6"/>
      <c r="D67" s="6"/>
      <c r="E67" s="105" t="s">
        <v>421</v>
      </c>
      <c r="F67" s="105"/>
      <c r="G67" s="59" t="s">
        <v>422</v>
      </c>
      <c r="H67" s="105" t="s">
        <v>423</v>
      </c>
      <c r="I67" s="105"/>
      <c r="J67" s="139" t="s">
        <v>424</v>
      </c>
      <c r="K67" s="140">
        <v>1</v>
      </c>
      <c r="L67" s="140"/>
      <c r="M67" s="6"/>
      <c r="N67" s="6"/>
      <c r="O67" s="6"/>
      <c r="P67" s="6"/>
      <c r="Q67" s="6"/>
      <c r="R67" s="6"/>
      <c r="S67" s="6"/>
      <c r="T67" s="6"/>
      <c r="U67" s="6"/>
      <c r="AJ67" s="34" t="s">
        <v>397</v>
      </c>
      <c r="AK67" s="160" t="s">
        <v>425</v>
      </c>
      <c r="AL67" s="161"/>
      <c r="AM67" s="162" t="s">
        <v>394</v>
      </c>
      <c r="AN67" s="162"/>
      <c r="AO67" s="36" t="s">
        <v>426</v>
      </c>
      <c r="AP67" s="35"/>
      <c r="AQ67" s="35"/>
    </row>
    <row r="68" spans="1:21" ht="9.75" customHeight="1">
      <c r="A68" s="6"/>
      <c r="B68" s="6"/>
      <c r="C68" s="6"/>
      <c r="D68" s="6"/>
      <c r="E68" s="72" t="s">
        <v>392</v>
      </c>
      <c r="F68" s="72"/>
      <c r="G68" s="59"/>
      <c r="H68" s="72" t="s">
        <v>393</v>
      </c>
      <c r="I68" s="72"/>
      <c r="J68" s="59"/>
      <c r="K68" s="140"/>
      <c r="L68" s="140"/>
      <c r="M68" s="6"/>
      <c r="N68" s="6"/>
      <c r="O68" s="6"/>
      <c r="P68" s="6"/>
      <c r="Q68" s="6"/>
      <c r="R68" s="6"/>
      <c r="S68" s="6"/>
      <c r="T68" s="6"/>
      <c r="U68" s="6"/>
    </row>
    <row r="69" spans="1:21" ht="9.75" customHeight="1">
      <c r="A69" s="6"/>
      <c r="B69" s="6"/>
      <c r="C69" s="6"/>
      <c r="D69" s="6"/>
      <c r="E69" s="6" t="s">
        <v>427</v>
      </c>
      <c r="F69" s="6"/>
      <c r="G69" s="6"/>
      <c r="H69" s="7" t="s">
        <v>421</v>
      </c>
      <c r="I69" s="6"/>
      <c r="J69" s="6" t="s">
        <v>428</v>
      </c>
      <c r="K69" s="6"/>
      <c r="L69" s="6"/>
      <c r="M69" s="6"/>
      <c r="N69" s="6"/>
      <c r="O69" s="6"/>
      <c r="P69" s="6"/>
      <c r="Q69" s="6" t="s">
        <v>429</v>
      </c>
      <c r="R69" s="6"/>
      <c r="S69" s="6"/>
      <c r="T69" s="6"/>
      <c r="U69" s="6"/>
    </row>
    <row r="70" spans="1:21" ht="9.75" customHeight="1">
      <c r="A70" s="6"/>
      <c r="B70" s="6"/>
      <c r="C70" s="6"/>
      <c r="D70" s="6"/>
      <c r="E70" s="6"/>
      <c r="F70" s="6"/>
      <c r="G70" s="6"/>
      <c r="H70" s="7" t="s">
        <v>423</v>
      </c>
      <c r="I70" s="6"/>
      <c r="J70" s="6" t="s">
        <v>430</v>
      </c>
      <c r="K70" s="6"/>
      <c r="L70" s="6"/>
      <c r="M70" s="6"/>
      <c r="N70" s="6"/>
      <c r="O70" s="6"/>
      <c r="P70" s="6"/>
      <c r="Q70" s="6" t="s">
        <v>431</v>
      </c>
      <c r="R70" s="6"/>
      <c r="S70" s="6"/>
      <c r="T70" s="6"/>
      <c r="U70" s="6"/>
    </row>
    <row r="71" spans="1:28" ht="9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9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34" ht="9.75" customHeight="1">
      <c r="A73" s="12" t="s">
        <v>7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13" t="s">
        <v>8</v>
      </c>
    </row>
    <row r="115" ht="13.5" customHeight="1"/>
    <row r="116" ht="13.5" customHeight="1"/>
  </sheetData>
  <mergeCells count="208">
    <mergeCell ref="F58:G58"/>
    <mergeCell ref="F53:G53"/>
    <mergeCell ref="F54:G54"/>
    <mergeCell ref="F55:G55"/>
    <mergeCell ref="F56:G56"/>
    <mergeCell ref="F49:G49"/>
    <mergeCell ref="F50:G50"/>
    <mergeCell ref="F51:G51"/>
    <mergeCell ref="F52:G52"/>
    <mergeCell ref="F45:G45"/>
    <mergeCell ref="F46:G46"/>
    <mergeCell ref="F47:G47"/>
    <mergeCell ref="F48:G48"/>
    <mergeCell ref="AJ52:AK52"/>
    <mergeCell ref="AJ54:AK54"/>
    <mergeCell ref="AJ56:AK56"/>
    <mergeCell ref="AJ58:AK58"/>
    <mergeCell ref="R21:U21"/>
    <mergeCell ref="R22:U22"/>
    <mergeCell ref="R24:U24"/>
    <mergeCell ref="AJ50:AK50"/>
    <mergeCell ref="AJ48:AK48"/>
    <mergeCell ref="AC47:AE48"/>
    <mergeCell ref="AF47:AH48"/>
    <mergeCell ref="T47:V48"/>
    <mergeCell ref="W47:Y48"/>
    <mergeCell ref="Z47:AB48"/>
    <mergeCell ref="AX57:AY57"/>
    <mergeCell ref="AV57:AW57"/>
    <mergeCell ref="H47:J47"/>
    <mergeCell ref="H48:J48"/>
    <mergeCell ref="H49:J49"/>
    <mergeCell ref="H50:J50"/>
    <mergeCell ref="H51:J51"/>
    <mergeCell ref="H52:J52"/>
    <mergeCell ref="H53:J53"/>
    <mergeCell ref="H54:J54"/>
    <mergeCell ref="AT55:AU55"/>
    <mergeCell ref="AV55:AW55"/>
    <mergeCell ref="AX47:AY47"/>
    <mergeCell ref="AX49:AY49"/>
    <mergeCell ref="AX51:AY51"/>
    <mergeCell ref="AX53:AY53"/>
    <mergeCell ref="AX55:AY55"/>
    <mergeCell ref="AT49:AU49"/>
    <mergeCell ref="AV49:AW49"/>
    <mergeCell ref="AV51:AW51"/>
    <mergeCell ref="AV53:AW53"/>
    <mergeCell ref="BC53:BD53"/>
    <mergeCell ref="BA55:BB55"/>
    <mergeCell ref="BC55:BD55"/>
    <mergeCell ref="BC57:BD57"/>
    <mergeCell ref="BC47:BD47"/>
    <mergeCell ref="BA49:BB49"/>
    <mergeCell ref="BC49:BD49"/>
    <mergeCell ref="BA51:BB51"/>
    <mergeCell ref="BC51:BD51"/>
    <mergeCell ref="AO57:AP57"/>
    <mergeCell ref="AO58:AP58"/>
    <mergeCell ref="BA47:BB47"/>
    <mergeCell ref="BA53:BB53"/>
    <mergeCell ref="AT47:AU47"/>
    <mergeCell ref="AT51:AU51"/>
    <mergeCell ref="AT53:AU53"/>
    <mergeCell ref="AT57:AU57"/>
    <mergeCell ref="AV47:AW47"/>
    <mergeCell ref="BA57:BB57"/>
    <mergeCell ref="AO53:AP53"/>
    <mergeCell ref="AO54:AP54"/>
    <mergeCell ref="AO55:AP55"/>
    <mergeCell ref="AO56:AP56"/>
    <mergeCell ref="AO49:AP49"/>
    <mergeCell ref="AO50:AP50"/>
    <mergeCell ref="AO51:AP51"/>
    <mergeCell ref="AO52:AP52"/>
    <mergeCell ref="AT43:AU43"/>
    <mergeCell ref="AV43:AW43"/>
    <mergeCell ref="AX43:AY43"/>
    <mergeCell ref="AO48:AP48"/>
    <mergeCell ref="AO43:AP43"/>
    <mergeCell ref="AO47:AP47"/>
    <mergeCell ref="AO46:AP46"/>
    <mergeCell ref="N45:P46"/>
    <mergeCell ref="AJ46:AK46"/>
    <mergeCell ref="BA45:BB45"/>
    <mergeCell ref="BC45:BD45"/>
    <mergeCell ref="AT45:AU45"/>
    <mergeCell ref="AV45:AW45"/>
    <mergeCell ref="AX45:AY45"/>
    <mergeCell ref="AR43:AS43"/>
    <mergeCell ref="Q43:S43"/>
    <mergeCell ref="T43:V43"/>
    <mergeCell ref="AO45:AP45"/>
    <mergeCell ref="AO65:AP65"/>
    <mergeCell ref="AK66:AL66"/>
    <mergeCell ref="AM66:AN66"/>
    <mergeCell ref="AO66:AP66"/>
    <mergeCell ref="AK62:AQ62"/>
    <mergeCell ref="AK64:AL64"/>
    <mergeCell ref="AM64:AN64"/>
    <mergeCell ref="AO64:AP64"/>
    <mergeCell ref="E67:F67"/>
    <mergeCell ref="H67:I67"/>
    <mergeCell ref="E68:F68"/>
    <mergeCell ref="H68:I68"/>
    <mergeCell ref="G67:G68"/>
    <mergeCell ref="AK67:AL67"/>
    <mergeCell ref="AM67:AN67"/>
    <mergeCell ref="H64:I64"/>
    <mergeCell ref="H65:I65"/>
    <mergeCell ref="J67:J68"/>
    <mergeCell ref="K67:L68"/>
    <mergeCell ref="AK65:AL65"/>
    <mergeCell ref="AM65:AN65"/>
    <mergeCell ref="AF51:AH52"/>
    <mergeCell ref="AC49:AE50"/>
    <mergeCell ref="AF49:AH50"/>
    <mergeCell ref="A1:AH3"/>
    <mergeCell ref="AC5:AG5"/>
    <mergeCell ref="AC6:AD6"/>
    <mergeCell ref="AF6:AG6"/>
    <mergeCell ref="H46:J46"/>
    <mergeCell ref="K43:M43"/>
    <mergeCell ref="N43:P43"/>
    <mergeCell ref="AC7:AG7"/>
    <mergeCell ref="AC45:AE46"/>
    <mergeCell ref="AF45:AH46"/>
    <mergeCell ref="W42:AH42"/>
    <mergeCell ref="W43:Y43"/>
    <mergeCell ref="Z43:AB43"/>
    <mergeCell ref="AC43:AE43"/>
    <mergeCell ref="AF43:AH43"/>
    <mergeCell ref="C49:E50"/>
    <mergeCell ref="W45:Y46"/>
    <mergeCell ref="Z45:AB46"/>
    <mergeCell ref="W44:AH44"/>
    <mergeCell ref="K44:V44"/>
    <mergeCell ref="T45:V46"/>
    <mergeCell ref="Q45:S46"/>
    <mergeCell ref="H44:J44"/>
    <mergeCell ref="K49:M50"/>
    <mergeCell ref="K45:M46"/>
    <mergeCell ref="N18:P18"/>
    <mergeCell ref="N19:P19"/>
    <mergeCell ref="C42:E42"/>
    <mergeCell ref="F42:J42"/>
    <mergeCell ref="K42:V42"/>
    <mergeCell ref="R23:U23"/>
    <mergeCell ref="M21:P21"/>
    <mergeCell ref="M23:P23"/>
    <mergeCell ref="M22:P22"/>
    <mergeCell ref="M24:P24"/>
    <mergeCell ref="C43:E43"/>
    <mergeCell ref="F43:G43"/>
    <mergeCell ref="N47:P48"/>
    <mergeCell ref="Q47:S48"/>
    <mergeCell ref="C44:E44"/>
    <mergeCell ref="F44:G44"/>
    <mergeCell ref="C45:E46"/>
    <mergeCell ref="C47:E48"/>
    <mergeCell ref="H43:J43"/>
    <mergeCell ref="H45:J45"/>
    <mergeCell ref="K51:M52"/>
    <mergeCell ref="N51:P52"/>
    <mergeCell ref="Q51:S52"/>
    <mergeCell ref="H55:J55"/>
    <mergeCell ref="K55:M56"/>
    <mergeCell ref="N55:P56"/>
    <mergeCell ref="H56:J56"/>
    <mergeCell ref="Q53:S54"/>
    <mergeCell ref="Q55:S56"/>
    <mergeCell ref="K47:M48"/>
    <mergeCell ref="W49:Y50"/>
    <mergeCell ref="Z49:AB50"/>
    <mergeCell ref="N49:P50"/>
    <mergeCell ref="Q49:S50"/>
    <mergeCell ref="T49:V50"/>
    <mergeCell ref="AC57:AE58"/>
    <mergeCell ref="Z57:AB58"/>
    <mergeCell ref="T55:V56"/>
    <mergeCell ref="T51:V52"/>
    <mergeCell ref="W51:Y52"/>
    <mergeCell ref="Z51:AB52"/>
    <mergeCell ref="AC51:AE52"/>
    <mergeCell ref="AC53:AE54"/>
    <mergeCell ref="W53:Y54"/>
    <mergeCell ref="Z53:AB54"/>
    <mergeCell ref="K53:M54"/>
    <mergeCell ref="N53:P54"/>
    <mergeCell ref="W57:Y58"/>
    <mergeCell ref="T53:V54"/>
    <mergeCell ref="K57:M58"/>
    <mergeCell ref="N57:P58"/>
    <mergeCell ref="AF53:AH54"/>
    <mergeCell ref="C57:E58"/>
    <mergeCell ref="H58:J58"/>
    <mergeCell ref="AF57:AH58"/>
    <mergeCell ref="Q57:S58"/>
    <mergeCell ref="T57:V58"/>
    <mergeCell ref="AC55:AE56"/>
    <mergeCell ref="AF55:AH56"/>
    <mergeCell ref="W55:Y56"/>
    <mergeCell ref="Z55:AB56"/>
    <mergeCell ref="C51:E52"/>
    <mergeCell ref="C53:E54"/>
    <mergeCell ref="C55:E56"/>
    <mergeCell ref="H57:J57"/>
    <mergeCell ref="F57:G57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BD73"/>
  <sheetViews>
    <sheetView zoomScaleSheetLayoutView="100" workbookViewId="0" topLeftCell="A1">
      <selection activeCell="X5" sqref="X5"/>
    </sheetView>
  </sheetViews>
  <sheetFormatPr defaultColWidth="8.88671875" defaultRowHeight="13.5"/>
  <cols>
    <col min="1" max="63" width="2.3359375" style="3" customWidth="1"/>
    <col min="64" max="16384" width="8.88671875" style="3" customWidth="1"/>
  </cols>
  <sheetData>
    <row r="1" spans="1:34" ht="9.75" customHeight="1">
      <c r="A1" s="69" t="s">
        <v>444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4" ht="9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9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ht="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H4" s="6"/>
    </row>
    <row r="5" spans="1:33" ht="9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Z5" s="6" t="s">
        <v>445</v>
      </c>
      <c r="AC5" s="68" t="s">
        <v>446</v>
      </c>
      <c r="AD5" s="68"/>
      <c r="AE5" s="68"/>
      <c r="AF5" s="68"/>
      <c r="AG5" s="68"/>
    </row>
    <row r="6" spans="1:33" ht="9.75" customHeight="1">
      <c r="A6" s="6"/>
      <c r="B6" s="6"/>
      <c r="C6" s="6" t="s">
        <v>447</v>
      </c>
      <c r="D6" s="6"/>
      <c r="E6" s="6"/>
      <c r="F6" s="6" t="s">
        <v>448</v>
      </c>
      <c r="G6" s="11" t="s">
        <v>533</v>
      </c>
      <c r="H6" s="6"/>
      <c r="I6" s="6"/>
      <c r="J6" s="6"/>
      <c r="K6" s="6"/>
      <c r="L6" s="6"/>
      <c r="M6" s="6"/>
      <c r="N6" s="6"/>
      <c r="O6" s="6"/>
      <c r="P6" s="6"/>
      <c r="Z6" s="6" t="s">
        <v>449</v>
      </c>
      <c r="AC6" s="68">
        <v>1</v>
      </c>
      <c r="AD6" s="68"/>
      <c r="AE6" s="8" t="s">
        <v>450</v>
      </c>
      <c r="AF6" s="68">
        <v>1</v>
      </c>
      <c r="AG6" s="68"/>
    </row>
    <row r="7" spans="1:34" ht="9.75" customHeight="1">
      <c r="A7" s="6"/>
      <c r="B7" s="6"/>
      <c r="C7" s="6" t="s">
        <v>451</v>
      </c>
      <c r="D7" s="6"/>
      <c r="E7" s="6"/>
      <c r="F7" s="6" t="s">
        <v>448</v>
      </c>
      <c r="G7" s="11" t="s">
        <v>534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3" t="s">
        <v>452</v>
      </c>
      <c r="AC7" s="68" t="s">
        <v>536</v>
      </c>
      <c r="AD7" s="68"/>
      <c r="AE7" s="68"/>
      <c r="AF7" s="68"/>
      <c r="AG7" s="68"/>
      <c r="AH7" s="6"/>
    </row>
    <row r="8" spans="1:33" ht="9.75" customHeight="1">
      <c r="A8" s="6"/>
      <c r="B8" s="6"/>
      <c r="C8" s="6" t="s">
        <v>453</v>
      </c>
      <c r="D8" s="6"/>
      <c r="E8" s="6"/>
      <c r="F8" s="6" t="s">
        <v>448</v>
      </c>
      <c r="G8" s="11" t="s">
        <v>535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 t="s">
        <v>454</v>
      </c>
      <c r="AC8" s="8">
        <v>0</v>
      </c>
      <c r="AD8" s="43"/>
      <c r="AE8" s="43"/>
      <c r="AF8" s="43"/>
      <c r="AG8" s="43"/>
    </row>
    <row r="9" spans="1:28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5" ht="9.75" customHeight="1">
      <c r="A11" s="6"/>
      <c r="B11" s="6"/>
      <c r="C11" s="24" t="s">
        <v>455</v>
      </c>
      <c r="D11" s="11" t="s">
        <v>456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Y11" s="6"/>
    </row>
    <row r="12" spans="1:25" ht="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Y12" s="6"/>
    </row>
    <row r="13" spans="1:21" ht="9.75" customHeight="1">
      <c r="A13" s="6"/>
      <c r="B13" s="6"/>
      <c r="C13" s="6"/>
      <c r="D13" s="7" t="s">
        <v>457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9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8" ht="9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30" ht="9.75" customHeight="1">
      <c r="A16" s="6"/>
      <c r="B16" s="6"/>
      <c r="C16" s="24" t="s">
        <v>458</v>
      </c>
      <c r="D16" s="11" t="s">
        <v>459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AA16" s="6"/>
      <c r="AB16" s="6"/>
      <c r="AC16" s="6"/>
      <c r="AD16" s="6"/>
    </row>
    <row r="17" spans="1:30" ht="9.75" customHeight="1">
      <c r="A17" s="6"/>
      <c r="B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AA17" s="6"/>
      <c r="AB17" s="6"/>
      <c r="AC17" s="6"/>
      <c r="AD17" s="6"/>
    </row>
    <row r="18" spans="1:31" s="2" customFormat="1" ht="9.75" customHeight="1">
      <c r="A18" s="6"/>
      <c r="B18" s="6"/>
      <c r="C18" s="3"/>
      <c r="D18" s="7" t="s">
        <v>460</v>
      </c>
      <c r="E18" s="6"/>
      <c r="F18" s="6"/>
      <c r="G18" s="6"/>
      <c r="H18" s="6"/>
      <c r="I18" s="6"/>
      <c r="J18" s="6"/>
      <c r="K18" s="6"/>
      <c r="M18" s="6"/>
      <c r="N18" s="63">
        <v>38</v>
      </c>
      <c r="O18" s="63"/>
      <c r="P18" s="63"/>
      <c r="Q18" s="6"/>
      <c r="R18" s="6" t="s">
        <v>537</v>
      </c>
      <c r="S18" s="6"/>
      <c r="T18" s="6"/>
      <c r="U18" s="6"/>
      <c r="V18" s="6"/>
      <c r="W18" s="3"/>
      <c r="X18" s="3"/>
      <c r="Y18" s="3"/>
      <c r="Z18" s="3"/>
      <c r="AA18" s="3"/>
      <c r="AB18" s="7"/>
      <c r="AD18" s="5"/>
      <c r="AE18" s="3"/>
    </row>
    <row r="19" spans="1:31" s="2" customFormat="1" ht="9.75" customHeight="1">
      <c r="A19" s="6"/>
      <c r="B19" s="6"/>
      <c r="C19" s="3"/>
      <c r="D19" s="7" t="s">
        <v>461</v>
      </c>
      <c r="E19" s="6"/>
      <c r="F19" s="6"/>
      <c r="G19" s="6"/>
      <c r="H19" s="6"/>
      <c r="I19" s="6"/>
      <c r="J19" s="6"/>
      <c r="K19" s="6"/>
      <c r="M19" s="6"/>
      <c r="N19" s="63">
        <v>350</v>
      </c>
      <c r="O19" s="63"/>
      <c r="P19" s="63"/>
      <c r="Q19" s="6"/>
      <c r="R19" s="6" t="s">
        <v>41</v>
      </c>
      <c r="S19" s="6"/>
      <c r="T19" s="6"/>
      <c r="U19" s="6"/>
      <c r="V19" s="6"/>
      <c r="W19" s="3"/>
      <c r="X19" s="3"/>
      <c r="Y19" s="3"/>
      <c r="Z19" s="3"/>
      <c r="AA19" s="3"/>
      <c r="AB19" s="6"/>
      <c r="AD19" s="5"/>
      <c r="AE19" s="3"/>
    </row>
    <row r="20" spans="1:28" ht="9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39" ht="9.75" customHeight="1">
      <c r="A21" s="6"/>
      <c r="B21" s="6"/>
      <c r="C21" s="6"/>
      <c r="D21" s="9" t="s">
        <v>462</v>
      </c>
      <c r="E21" s="6"/>
      <c r="F21" s="6"/>
      <c r="G21" s="6"/>
      <c r="H21" s="6"/>
      <c r="I21" s="6"/>
      <c r="J21" s="6"/>
      <c r="K21" s="6"/>
      <c r="L21" s="6"/>
      <c r="N21" s="134" t="s">
        <v>464</v>
      </c>
      <c r="O21" s="134"/>
      <c r="P21" s="134"/>
      <c r="Q21" s="134"/>
      <c r="Y21" s="6"/>
      <c r="AA21" s="6"/>
      <c r="AB21" s="6"/>
      <c r="AC21" s="6"/>
      <c r="AD21" s="6"/>
      <c r="AJ21" s="134" t="s">
        <v>463</v>
      </c>
      <c r="AK21" s="134"/>
      <c r="AL21" s="134"/>
      <c r="AM21" s="134"/>
    </row>
    <row r="22" spans="1:39" ht="9.75" customHeight="1">
      <c r="A22" s="6"/>
      <c r="B22" s="6"/>
      <c r="D22" s="3" t="s">
        <v>465</v>
      </c>
      <c r="E22" s="6"/>
      <c r="F22" s="6"/>
      <c r="G22" s="6"/>
      <c r="H22" s="6"/>
      <c r="I22" s="6"/>
      <c r="J22" s="6"/>
      <c r="K22" s="6"/>
      <c r="L22" s="6"/>
      <c r="N22" s="191" t="s">
        <v>34</v>
      </c>
      <c r="O22" s="191"/>
      <c r="P22" s="191"/>
      <c r="Q22" s="191"/>
      <c r="Y22" s="6"/>
      <c r="AA22" s="6"/>
      <c r="AB22" s="6"/>
      <c r="AC22" s="6"/>
      <c r="AD22" s="6"/>
      <c r="AJ22" s="191" t="s">
        <v>34</v>
      </c>
      <c r="AK22" s="191"/>
      <c r="AL22" s="191"/>
      <c r="AM22" s="191"/>
    </row>
    <row r="23" spans="1:39" ht="9.75" customHeight="1">
      <c r="A23" s="6"/>
      <c r="B23" s="6"/>
      <c r="C23" s="6"/>
      <c r="D23" s="6" t="s">
        <v>466</v>
      </c>
      <c r="E23" s="6"/>
      <c r="F23" s="6"/>
      <c r="G23" s="6"/>
      <c r="H23" s="6"/>
      <c r="I23" s="6"/>
      <c r="N23" s="191" t="s">
        <v>538</v>
      </c>
      <c r="O23" s="191"/>
      <c r="P23" s="191"/>
      <c r="Q23" s="191"/>
      <c r="Y23" s="6"/>
      <c r="AA23" s="6"/>
      <c r="AB23" s="6"/>
      <c r="AC23" s="6"/>
      <c r="AD23" s="6"/>
      <c r="AJ23" s="191" t="s">
        <v>35</v>
      </c>
      <c r="AK23" s="191"/>
      <c r="AL23" s="191"/>
      <c r="AM23" s="191"/>
    </row>
    <row r="24" spans="1:39" ht="9.75" customHeight="1">
      <c r="A24" s="6"/>
      <c r="B24" s="6"/>
      <c r="C24" s="6"/>
      <c r="D24" s="6" t="s">
        <v>467</v>
      </c>
      <c r="E24" s="6"/>
      <c r="F24" s="6"/>
      <c r="G24" s="6"/>
      <c r="H24" s="6"/>
      <c r="I24" s="6"/>
      <c r="J24" s="6"/>
      <c r="K24" s="6"/>
      <c r="L24" s="6"/>
      <c r="N24" s="192">
        <f>stress(N22,N21,N23,N19,R19,R18,3)</f>
        <v>1475.4780607380294</v>
      </c>
      <c r="O24" s="192"/>
      <c r="P24" s="192"/>
      <c r="Q24" s="192"/>
      <c r="S24" s="3" t="str">
        <f>upsx(R18)</f>
        <v>bar</v>
      </c>
      <c r="Y24" s="6"/>
      <c r="AA24" s="6"/>
      <c r="AB24" s="6"/>
      <c r="AC24" s="6"/>
      <c r="AD24" s="6"/>
      <c r="AJ24" s="192">
        <f>stress(AJ22,AJ21,AJ23,N19,R19,R18,3)</f>
        <v>1154.182370876384</v>
      </c>
      <c r="AK24" s="192"/>
      <c r="AL24" s="192"/>
      <c r="AM24" s="192"/>
    </row>
    <row r="25" spans="1:28" ht="9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9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1" ht="9.75" customHeight="1">
      <c r="A27" s="6"/>
      <c r="B27" s="6"/>
      <c r="C27" s="24" t="s">
        <v>468</v>
      </c>
      <c r="D27" s="11" t="s">
        <v>469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9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9.75" customHeight="1">
      <c r="A29" s="6"/>
      <c r="B29" s="6"/>
      <c r="C29" s="6"/>
      <c r="D29" s="7" t="s">
        <v>470</v>
      </c>
      <c r="E29" s="6"/>
      <c r="F29" s="6"/>
      <c r="G29" s="6" t="s">
        <v>471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9.75" customHeight="1">
      <c r="A30" s="6"/>
      <c r="B30" s="6"/>
      <c r="C30" s="6"/>
      <c r="D30" s="7" t="s">
        <v>472</v>
      </c>
      <c r="E30" s="6"/>
      <c r="F30" s="6"/>
      <c r="G30" s="6" t="s">
        <v>473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9.75" customHeight="1">
      <c r="A31" s="6"/>
      <c r="B31" s="6"/>
      <c r="C31" s="6"/>
      <c r="D31" s="7" t="s">
        <v>474</v>
      </c>
      <c r="E31" s="6"/>
      <c r="F31" s="6"/>
      <c r="G31" s="6" t="s">
        <v>475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9.75" customHeight="1">
      <c r="A32" s="6"/>
      <c r="B32" s="6"/>
      <c r="C32" s="6"/>
      <c r="D32" s="7" t="s">
        <v>476</v>
      </c>
      <c r="E32" s="6"/>
      <c r="F32" s="6"/>
      <c r="G32" s="6" t="s">
        <v>477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9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9.75" customHeight="1">
      <c r="A34" s="6"/>
      <c r="B34" s="6"/>
      <c r="C34" s="6"/>
      <c r="D34" s="7" t="s">
        <v>478</v>
      </c>
      <c r="E34" s="6"/>
      <c r="F34" s="6"/>
      <c r="G34" s="6" t="s">
        <v>479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9.75" customHeight="1">
      <c r="A35" s="6"/>
      <c r="B35" s="6"/>
      <c r="C35" s="6"/>
      <c r="D35" s="7" t="s">
        <v>480</v>
      </c>
      <c r="E35" s="6"/>
      <c r="F35" s="6"/>
      <c r="G35" s="6" t="s">
        <v>481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9.75" customHeight="1">
      <c r="A36" s="6"/>
      <c r="B36" s="6"/>
      <c r="C36" s="6"/>
      <c r="D36" s="7" t="s">
        <v>482</v>
      </c>
      <c r="E36" s="6"/>
      <c r="F36" s="6"/>
      <c r="G36" s="6" t="s">
        <v>483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9.75" customHeight="1">
      <c r="A37" s="6"/>
      <c r="B37" s="6"/>
      <c r="C37" s="6"/>
      <c r="D37" s="7" t="s">
        <v>484</v>
      </c>
      <c r="E37" s="6"/>
      <c r="F37" s="6"/>
      <c r="G37" s="6" t="s">
        <v>485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9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8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1" ht="9.75" customHeight="1">
      <c r="A40" s="6"/>
      <c r="B40" s="6"/>
      <c r="C40" s="24" t="s">
        <v>486</v>
      </c>
      <c r="D40" s="11" t="s">
        <v>487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9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34" ht="9.75" customHeight="1">
      <c r="A42" s="6"/>
      <c r="B42" s="6"/>
      <c r="C42" s="72" t="s">
        <v>462</v>
      </c>
      <c r="D42" s="72"/>
      <c r="E42" s="115"/>
      <c r="F42" s="116" t="s">
        <v>462</v>
      </c>
      <c r="G42" s="72"/>
      <c r="H42" s="72"/>
      <c r="I42" s="72"/>
      <c r="J42" s="115"/>
      <c r="K42" s="116" t="s">
        <v>488</v>
      </c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115"/>
      <c r="W42" s="72" t="s">
        <v>489</v>
      </c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53" ht="9.75" customHeight="1">
      <c r="A43" s="6"/>
      <c r="B43" s="6"/>
      <c r="C43" s="105" t="s">
        <v>490</v>
      </c>
      <c r="D43" s="105"/>
      <c r="E43" s="106"/>
      <c r="F43" s="107" t="s">
        <v>491</v>
      </c>
      <c r="G43" s="108"/>
      <c r="H43" s="117" t="s">
        <v>492</v>
      </c>
      <c r="I43" s="118"/>
      <c r="J43" s="119"/>
      <c r="K43" s="120" t="s">
        <v>470</v>
      </c>
      <c r="L43" s="121"/>
      <c r="M43" s="121"/>
      <c r="N43" s="121" t="s">
        <v>472</v>
      </c>
      <c r="O43" s="121"/>
      <c r="P43" s="121"/>
      <c r="Q43" s="121" t="s">
        <v>474</v>
      </c>
      <c r="R43" s="121"/>
      <c r="S43" s="136"/>
      <c r="T43" s="120" t="s">
        <v>493</v>
      </c>
      <c r="U43" s="121"/>
      <c r="V43" s="137"/>
      <c r="W43" s="120" t="s">
        <v>478</v>
      </c>
      <c r="X43" s="121"/>
      <c r="Y43" s="121"/>
      <c r="Z43" s="121" t="s">
        <v>480</v>
      </c>
      <c r="AA43" s="121"/>
      <c r="AB43" s="121"/>
      <c r="AC43" s="121" t="s">
        <v>482</v>
      </c>
      <c r="AD43" s="121"/>
      <c r="AE43" s="136"/>
      <c r="AF43" s="120" t="s">
        <v>494</v>
      </c>
      <c r="AG43" s="121"/>
      <c r="AH43" s="136"/>
      <c r="AO43" s="148" t="s">
        <v>495</v>
      </c>
      <c r="AP43" s="148"/>
      <c r="AR43" s="148" t="s">
        <v>496</v>
      </c>
      <c r="AS43" s="148"/>
      <c r="AT43" s="148" t="s">
        <v>497</v>
      </c>
      <c r="AU43" s="148"/>
      <c r="AV43" s="148" t="s">
        <v>498</v>
      </c>
      <c r="AW43" s="148"/>
      <c r="AX43" s="148" t="s">
        <v>499</v>
      </c>
      <c r="AY43" s="148"/>
      <c r="BA43" s="30" t="s">
        <v>500</v>
      </c>
    </row>
    <row r="44" spans="1:34" ht="9.75" customHeight="1">
      <c r="A44" s="6"/>
      <c r="B44" s="6"/>
      <c r="C44" s="105"/>
      <c r="D44" s="105"/>
      <c r="E44" s="106"/>
      <c r="F44" s="109" t="s">
        <v>501</v>
      </c>
      <c r="G44" s="110"/>
      <c r="H44" s="133" t="s">
        <v>502</v>
      </c>
      <c r="I44" s="134"/>
      <c r="J44" s="135"/>
      <c r="K44" s="129" t="str">
        <f>upsForce(R18)</f>
        <v>N</v>
      </c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1"/>
      <c r="W44" s="129" t="str">
        <f>upsMoment(R18)</f>
        <v>N.m</v>
      </c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</row>
    <row r="45" spans="1:56" ht="12" customHeight="1">
      <c r="A45" s="6"/>
      <c r="B45" s="6"/>
      <c r="C45" s="111" t="s">
        <v>539</v>
      </c>
      <c r="D45" s="111"/>
      <c r="E45" s="112"/>
      <c r="F45" s="209" t="str">
        <f>AO45</f>
        <v>48"</v>
      </c>
      <c r="G45" s="210"/>
      <c r="H45" s="218">
        <f>IF(AO45="","",IF(AJ45="pipe",pipe(AJ22,AJ23,AO45,AO46,1),AJ46+2*AM46))</f>
        <v>1274</v>
      </c>
      <c r="I45" s="219"/>
      <c r="J45" s="220"/>
      <c r="K45" s="185">
        <f>IF(AO45="","",T45*H64/100)</f>
        <v>123942.23797460544</v>
      </c>
      <c r="L45" s="180"/>
      <c r="M45" s="186"/>
      <c r="N45" s="179">
        <f>IF(AO45="","",((T45^2-K45^2)/2)^0.5)</f>
        <v>173923.06009606447</v>
      </c>
      <c r="O45" s="180"/>
      <c r="P45" s="186"/>
      <c r="Q45" s="179">
        <f>IF(AO45="","",N45)</f>
        <v>173923.06009606447</v>
      </c>
      <c r="R45" s="180"/>
      <c r="S45" s="180"/>
      <c r="T45" s="125">
        <f>IF(AO45="","",AX45*BA45*H46*IF(AJ45="pipe",AJ24,N24)/AT45)*9.80665</f>
        <v>275427.1954991232</v>
      </c>
      <c r="U45" s="126"/>
      <c r="V45" s="132"/>
      <c r="W45" s="185">
        <f>IF(AO45="","",AF45*H65/100)</f>
        <v>804143.3642420451</v>
      </c>
      <c r="X45" s="180"/>
      <c r="Y45" s="186"/>
      <c r="Z45" s="179">
        <f>IF(AO45="","",((AF45^2-W45^2)/2)^0.5)</f>
        <v>1128421.4078301252</v>
      </c>
      <c r="AA45" s="180"/>
      <c r="AB45" s="186"/>
      <c r="AC45" s="179">
        <f>IF(AO45="","",Z45)</f>
        <v>1128421.4078301252</v>
      </c>
      <c r="AD45" s="180"/>
      <c r="AE45" s="180"/>
      <c r="AF45" s="125">
        <f>IF(AO45="","",(AX45*BC45)^2*H46*IF(AJ45="pipe",AJ24,N24)/AV45)*9.80665</f>
        <v>1786985.2538712113</v>
      </c>
      <c r="AG45" s="126"/>
      <c r="AH45" s="126"/>
      <c r="AI45" s="25"/>
      <c r="AJ45" s="25" t="s">
        <v>436</v>
      </c>
      <c r="AK45" s="25"/>
      <c r="AL45" s="25"/>
      <c r="AM45" s="25"/>
      <c r="AN45" s="25"/>
      <c r="AO45" s="113" t="s">
        <v>441</v>
      </c>
      <c r="AP45" s="113"/>
      <c r="AQ45" s="25"/>
      <c r="AR45" s="25" t="str">
        <f>IF(AO45="","*",IF(OR(AJ22="ASTM",AJ22="ASME"),AO45,npsconv(AJ22,AO45,1)))</f>
        <v>48"</v>
      </c>
      <c r="AS45" s="25">
        <f>IF(AO45="","*",npsconv("ASTM",AR45,2))</f>
        <v>48</v>
      </c>
      <c r="AT45" s="66">
        <f>IF(AO45="","",IF(AS45&lt;=AK64,AK65,IF(AS45&lt;=AM64,AM65,AO65)))</f>
        <v>12</v>
      </c>
      <c r="AU45" s="66"/>
      <c r="AV45" s="66">
        <f>IF(AO45="","",IF(AS45&lt;=AK64,AK66,IF(AS45&lt;=AM64,AM66,AO66)))</f>
        <v>12</v>
      </c>
      <c r="AW45" s="66"/>
      <c r="AX45" s="66">
        <f>IF(AO45="","",IF(AS45&lt;=AK64,AS45+1,IF(AS45&lt;=AM64,AS45,(AS45+16)/3)))</f>
        <v>21.333333333333332</v>
      </c>
      <c r="AY45" s="66"/>
      <c r="AZ45" s="25"/>
      <c r="BA45" s="193">
        <v>0.3346</v>
      </c>
      <c r="BB45" s="193"/>
      <c r="BC45" s="193">
        <v>0.319</v>
      </c>
      <c r="BD45" s="193"/>
    </row>
    <row r="46" spans="1:42" ht="12" customHeight="1">
      <c r="A46" s="6"/>
      <c r="B46" s="6"/>
      <c r="C46" s="170"/>
      <c r="D46" s="170"/>
      <c r="E46" s="171"/>
      <c r="F46" s="200" t="str">
        <f>IF(AO45="","",IF(AJ45="pipe",AO46,"---"))</f>
        <v>---</v>
      </c>
      <c r="G46" s="201"/>
      <c r="H46" s="215">
        <f>IF(AO45="","",IF(AJ45="pipe",pipe(AJ22,AJ23,AO45,AO46,2),AM46))</f>
        <v>32</v>
      </c>
      <c r="I46" s="216"/>
      <c r="J46" s="217"/>
      <c r="K46" s="187"/>
      <c r="L46" s="184"/>
      <c r="M46" s="188"/>
      <c r="N46" s="183"/>
      <c r="O46" s="184"/>
      <c r="P46" s="188"/>
      <c r="Q46" s="183"/>
      <c r="R46" s="184"/>
      <c r="S46" s="184"/>
      <c r="T46" s="168"/>
      <c r="U46" s="165"/>
      <c r="V46" s="172"/>
      <c r="W46" s="187"/>
      <c r="X46" s="184"/>
      <c r="Y46" s="188"/>
      <c r="Z46" s="183"/>
      <c r="AA46" s="184"/>
      <c r="AB46" s="188"/>
      <c r="AC46" s="183"/>
      <c r="AD46" s="184"/>
      <c r="AE46" s="184"/>
      <c r="AF46" s="168"/>
      <c r="AG46" s="165"/>
      <c r="AH46" s="165"/>
      <c r="AI46" s="45" t="s">
        <v>490</v>
      </c>
      <c r="AJ46" s="68">
        <v>1210</v>
      </c>
      <c r="AK46" s="68"/>
      <c r="AL46" s="8" t="s">
        <v>502</v>
      </c>
      <c r="AM46" s="29">
        <v>32</v>
      </c>
      <c r="AO46" s="195" t="s">
        <v>329</v>
      </c>
      <c r="AP46" s="195"/>
    </row>
    <row r="47" spans="1:56" ht="12" customHeight="1">
      <c r="A47" s="6"/>
      <c r="B47" s="6"/>
      <c r="C47" s="111"/>
      <c r="D47" s="111"/>
      <c r="E47" s="112"/>
      <c r="F47" s="202"/>
      <c r="G47" s="203"/>
      <c r="H47" s="141"/>
      <c r="I47" s="142"/>
      <c r="J47" s="143"/>
      <c r="K47" s="185"/>
      <c r="L47" s="180"/>
      <c r="M47" s="186"/>
      <c r="N47" s="179"/>
      <c r="O47" s="180"/>
      <c r="P47" s="186"/>
      <c r="Q47" s="179"/>
      <c r="R47" s="180"/>
      <c r="S47" s="180"/>
      <c r="T47" s="125"/>
      <c r="U47" s="126"/>
      <c r="V47" s="132"/>
      <c r="W47" s="185"/>
      <c r="X47" s="180"/>
      <c r="Y47" s="186"/>
      <c r="Z47" s="179"/>
      <c r="AA47" s="180"/>
      <c r="AB47" s="186"/>
      <c r="AC47" s="179"/>
      <c r="AD47" s="180"/>
      <c r="AE47" s="180"/>
      <c r="AF47" s="125"/>
      <c r="AG47" s="126"/>
      <c r="AH47" s="126"/>
      <c r="AI47" s="25"/>
      <c r="AJ47" s="25" t="s">
        <v>436</v>
      </c>
      <c r="AK47" s="25"/>
      <c r="AL47" s="25"/>
      <c r="AM47" s="25"/>
      <c r="AN47" s="25"/>
      <c r="AO47" s="113" t="s">
        <v>440</v>
      </c>
      <c r="AP47" s="113"/>
      <c r="AQ47" s="25"/>
      <c r="AR47" s="25" t="str">
        <f>IF(AO47="","*",IF(OR(AJ22="ASTM",AJ22="ASME"),AO47,npsconv(AJ22,AO47,1)))</f>
        <v>36"</v>
      </c>
      <c r="AS47" s="25">
        <f>IF(AO47="","*",npsconv("ASTM",AR47,2))</f>
        <v>36</v>
      </c>
      <c r="AT47" s="66">
        <f>IF(AO47="","",IF(AS47&lt;=AK64,AK65,IF(AS47&lt;=AM64,AM65,AO65)))</f>
        <v>12</v>
      </c>
      <c r="AU47" s="66"/>
      <c r="AV47" s="66">
        <f>IF(AO47="","",IF(AS47&lt;=AK64,AK66,IF(AS47&lt;=AM64,AM66,AO66)))</f>
        <v>12</v>
      </c>
      <c r="AW47" s="66"/>
      <c r="AX47" s="66">
        <f>IF(AO47="","",IF(AS47&lt;=AK64,AS47+1,IF(AS47&lt;=AM64,AS47,(AS47+16)/3)))</f>
        <v>17.333333333333332</v>
      </c>
      <c r="AY47" s="66"/>
      <c r="AZ47" s="25"/>
      <c r="BA47" s="72">
        <f>BA45</f>
        <v>0.3346</v>
      </c>
      <c r="BB47" s="72"/>
      <c r="BC47" s="72">
        <f>BC45</f>
        <v>0.319</v>
      </c>
      <c r="BD47" s="72"/>
    </row>
    <row r="48" spans="1:56" ht="12" customHeight="1">
      <c r="A48" s="6"/>
      <c r="B48" s="6"/>
      <c r="C48" s="79"/>
      <c r="D48" s="79"/>
      <c r="E48" s="80"/>
      <c r="F48" s="204"/>
      <c r="G48" s="205"/>
      <c r="H48" s="102"/>
      <c r="I48" s="103"/>
      <c r="J48" s="104"/>
      <c r="K48" s="187"/>
      <c r="L48" s="184"/>
      <c r="M48" s="188"/>
      <c r="N48" s="183"/>
      <c r="O48" s="184"/>
      <c r="P48" s="188"/>
      <c r="Q48" s="183"/>
      <c r="R48" s="184"/>
      <c r="S48" s="184"/>
      <c r="T48" s="98"/>
      <c r="U48" s="92"/>
      <c r="V48" s="96"/>
      <c r="W48" s="187"/>
      <c r="X48" s="184"/>
      <c r="Y48" s="188"/>
      <c r="Z48" s="183"/>
      <c r="AA48" s="184"/>
      <c r="AB48" s="188"/>
      <c r="AC48" s="183"/>
      <c r="AD48" s="184"/>
      <c r="AE48" s="184"/>
      <c r="AF48" s="98"/>
      <c r="AG48" s="92"/>
      <c r="AH48" s="92"/>
      <c r="AI48" s="46" t="s">
        <v>490</v>
      </c>
      <c r="AJ48" s="198">
        <v>900</v>
      </c>
      <c r="AK48" s="198"/>
      <c r="AL48" s="41" t="s">
        <v>502</v>
      </c>
      <c r="AM48" s="47">
        <v>15</v>
      </c>
      <c r="AN48" s="48"/>
      <c r="AO48" s="194" t="s">
        <v>329</v>
      </c>
      <c r="AP48" s="194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</row>
    <row r="49" spans="1:56" ht="12" customHeight="1">
      <c r="A49" s="6"/>
      <c r="B49" s="6"/>
      <c r="C49" s="170"/>
      <c r="D49" s="170"/>
      <c r="E49" s="171"/>
      <c r="F49" s="206"/>
      <c r="G49" s="207"/>
      <c r="H49" s="141"/>
      <c r="I49" s="142"/>
      <c r="J49" s="143"/>
      <c r="K49" s="185"/>
      <c r="L49" s="180"/>
      <c r="M49" s="186"/>
      <c r="N49" s="179"/>
      <c r="O49" s="180"/>
      <c r="P49" s="186"/>
      <c r="Q49" s="179"/>
      <c r="R49" s="180"/>
      <c r="S49" s="180"/>
      <c r="T49" s="166"/>
      <c r="U49" s="167"/>
      <c r="V49" s="173"/>
      <c r="W49" s="185"/>
      <c r="X49" s="180"/>
      <c r="Y49" s="186"/>
      <c r="Z49" s="179"/>
      <c r="AA49" s="180"/>
      <c r="AB49" s="186"/>
      <c r="AC49" s="179"/>
      <c r="AD49" s="180"/>
      <c r="AE49" s="180"/>
      <c r="AF49" s="166"/>
      <c r="AG49" s="167"/>
      <c r="AH49" s="167"/>
      <c r="AJ49" s="3" t="s">
        <v>436</v>
      </c>
      <c r="AO49" s="196" t="s">
        <v>222</v>
      </c>
      <c r="AP49" s="196"/>
      <c r="AR49" s="3" t="str">
        <f>IF(AO49="","*",IF(OR(AJ22="ASTM",AJ22="ASME"),AO49,npsconv(AJ22,AO49,1)))</f>
        <v>20"</v>
      </c>
      <c r="AS49" s="3">
        <f>IF(AO49="","*",npsconv("ASTM",AR49,2))</f>
        <v>20</v>
      </c>
      <c r="AT49" s="57">
        <f>IF(AO49="","",IF(AS49&lt;=AK64,AK65,IF(AS49&lt;=AM64,AM65,AO65)))</f>
        <v>12</v>
      </c>
      <c r="AU49" s="57"/>
      <c r="AV49" s="57">
        <f>IF(AO49="","",IF(AS49&lt;=AK64,AK66,IF(AS49&lt;=AM64,AM66,AO66)))</f>
        <v>12</v>
      </c>
      <c r="AW49" s="57"/>
      <c r="AX49" s="57">
        <f>IF(AO49="","",IF(AS49&lt;=AK64,AS49+1,IF(AS49&lt;=AM64,AS49,(AS49+16)/3)))</f>
        <v>12</v>
      </c>
      <c r="AY49" s="57"/>
      <c r="BA49" s="71">
        <f>BA45</f>
        <v>0.3346</v>
      </c>
      <c r="BB49" s="71"/>
      <c r="BC49" s="71">
        <f>BC45</f>
        <v>0.319</v>
      </c>
      <c r="BD49" s="71"/>
    </row>
    <row r="50" spans="1:42" ht="12" customHeight="1">
      <c r="A50" s="6"/>
      <c r="B50" s="6"/>
      <c r="C50" s="170"/>
      <c r="D50" s="170"/>
      <c r="E50" s="171"/>
      <c r="F50" s="200"/>
      <c r="G50" s="201"/>
      <c r="H50" s="102"/>
      <c r="I50" s="103"/>
      <c r="J50" s="104"/>
      <c r="K50" s="187"/>
      <c r="L50" s="184"/>
      <c r="M50" s="188"/>
      <c r="N50" s="183"/>
      <c r="O50" s="184"/>
      <c r="P50" s="188"/>
      <c r="Q50" s="183"/>
      <c r="R50" s="184"/>
      <c r="S50" s="184"/>
      <c r="T50" s="168"/>
      <c r="U50" s="165"/>
      <c r="V50" s="172"/>
      <c r="W50" s="187"/>
      <c r="X50" s="184"/>
      <c r="Y50" s="188"/>
      <c r="Z50" s="183"/>
      <c r="AA50" s="184"/>
      <c r="AB50" s="188"/>
      <c r="AC50" s="183"/>
      <c r="AD50" s="184"/>
      <c r="AE50" s="184"/>
      <c r="AF50" s="168"/>
      <c r="AG50" s="165"/>
      <c r="AH50" s="165"/>
      <c r="AI50" s="45" t="s">
        <v>490</v>
      </c>
      <c r="AJ50" s="68">
        <v>500</v>
      </c>
      <c r="AK50" s="68"/>
      <c r="AL50" s="8" t="s">
        <v>502</v>
      </c>
      <c r="AM50" s="29">
        <v>15</v>
      </c>
      <c r="AO50" s="197" t="s">
        <v>329</v>
      </c>
      <c r="AP50" s="197"/>
    </row>
    <row r="51" spans="1:56" ht="12" customHeight="1">
      <c r="A51" s="6"/>
      <c r="B51" s="6"/>
      <c r="C51" s="111"/>
      <c r="D51" s="111"/>
      <c r="E51" s="112"/>
      <c r="F51" s="202"/>
      <c r="G51" s="203"/>
      <c r="H51" s="141"/>
      <c r="I51" s="142"/>
      <c r="J51" s="143"/>
      <c r="K51" s="185"/>
      <c r="L51" s="180"/>
      <c r="M51" s="186"/>
      <c r="N51" s="179"/>
      <c r="O51" s="180"/>
      <c r="P51" s="186"/>
      <c r="Q51" s="179"/>
      <c r="R51" s="180"/>
      <c r="S51" s="180"/>
      <c r="T51" s="125"/>
      <c r="U51" s="126"/>
      <c r="V51" s="132"/>
      <c r="W51" s="185"/>
      <c r="X51" s="180"/>
      <c r="Y51" s="186"/>
      <c r="Z51" s="179"/>
      <c r="AA51" s="180"/>
      <c r="AB51" s="186"/>
      <c r="AC51" s="179"/>
      <c r="AD51" s="180"/>
      <c r="AE51" s="180"/>
      <c r="AF51" s="125"/>
      <c r="AG51" s="126"/>
      <c r="AH51" s="126"/>
      <c r="AI51" s="25"/>
      <c r="AJ51" s="25" t="s">
        <v>438</v>
      </c>
      <c r="AK51" s="25"/>
      <c r="AL51" s="25"/>
      <c r="AM51" s="25"/>
      <c r="AN51" s="25"/>
      <c r="AO51" s="113" t="s">
        <v>221</v>
      </c>
      <c r="AP51" s="113"/>
      <c r="AQ51" s="25"/>
      <c r="AR51" s="25" t="str">
        <f>IF(AO51="","*",IF(OR(AJ22="ASTM",AJ22="ASME"),AO51,npsconv(AJ22,AO51,1)))</f>
        <v>16"</v>
      </c>
      <c r="AS51" s="25">
        <f>IF(AO51="","*",npsconv("ASTM",AR51,2))</f>
        <v>16</v>
      </c>
      <c r="AT51" s="66">
        <f>IF(AO51="","",IF(AS51&lt;=AK64,AK65,IF(AS51&lt;=AM64,AM65,AO65)))</f>
        <v>12</v>
      </c>
      <c r="AU51" s="66"/>
      <c r="AV51" s="66">
        <f>IF(AO51="","",IF(AS51&lt;=AK64,AK66,IF(AS51&lt;=AM64,AM66,AO66)))</f>
        <v>12</v>
      </c>
      <c r="AW51" s="66"/>
      <c r="AX51" s="66">
        <f>IF(AO51="","",IF(AS51&lt;=AK64,AS51+1,IF(AS51&lt;=AM64,AS51,(AS51+16)/3)))</f>
        <v>10.666666666666666</v>
      </c>
      <c r="AY51" s="66"/>
      <c r="AZ51" s="25"/>
      <c r="BA51" s="72">
        <f>BA45</f>
        <v>0.3346</v>
      </c>
      <c r="BB51" s="72"/>
      <c r="BC51" s="72">
        <f>BC45</f>
        <v>0.319</v>
      </c>
      <c r="BD51" s="72"/>
    </row>
    <row r="52" spans="1:56" ht="12" customHeight="1">
      <c r="A52" s="6"/>
      <c r="B52" s="6"/>
      <c r="C52" s="79"/>
      <c r="D52" s="79"/>
      <c r="E52" s="80"/>
      <c r="F52" s="204"/>
      <c r="G52" s="205"/>
      <c r="H52" s="102"/>
      <c r="I52" s="103"/>
      <c r="J52" s="104"/>
      <c r="K52" s="187"/>
      <c r="L52" s="184"/>
      <c r="M52" s="188"/>
      <c r="N52" s="183"/>
      <c r="O52" s="184"/>
      <c r="P52" s="188"/>
      <c r="Q52" s="183"/>
      <c r="R52" s="184"/>
      <c r="S52" s="184"/>
      <c r="T52" s="98"/>
      <c r="U52" s="92"/>
      <c r="V52" s="96"/>
      <c r="W52" s="187"/>
      <c r="X52" s="184"/>
      <c r="Y52" s="188"/>
      <c r="Z52" s="183"/>
      <c r="AA52" s="184"/>
      <c r="AB52" s="188"/>
      <c r="AC52" s="183"/>
      <c r="AD52" s="184"/>
      <c r="AE52" s="184"/>
      <c r="AF52" s="98"/>
      <c r="AG52" s="92"/>
      <c r="AH52" s="92"/>
      <c r="AI52" s="46" t="s">
        <v>490</v>
      </c>
      <c r="AJ52" s="198">
        <v>500</v>
      </c>
      <c r="AK52" s="198"/>
      <c r="AL52" s="41" t="s">
        <v>502</v>
      </c>
      <c r="AM52" s="47">
        <v>15</v>
      </c>
      <c r="AN52" s="48"/>
      <c r="AO52" s="194" t="s">
        <v>329</v>
      </c>
      <c r="AP52" s="194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</row>
    <row r="53" spans="1:56" ht="12" customHeight="1">
      <c r="A53" s="6"/>
      <c r="B53" s="6"/>
      <c r="C53" s="170"/>
      <c r="D53" s="170"/>
      <c r="E53" s="171"/>
      <c r="F53" s="206"/>
      <c r="G53" s="207"/>
      <c r="H53" s="141"/>
      <c r="I53" s="142"/>
      <c r="J53" s="143"/>
      <c r="K53" s="185"/>
      <c r="L53" s="180"/>
      <c r="M53" s="186"/>
      <c r="N53" s="179"/>
      <c r="O53" s="180"/>
      <c r="P53" s="186"/>
      <c r="Q53" s="179"/>
      <c r="R53" s="180"/>
      <c r="S53" s="180"/>
      <c r="T53" s="166"/>
      <c r="U53" s="167"/>
      <c r="V53" s="173"/>
      <c r="W53" s="185"/>
      <c r="X53" s="180"/>
      <c r="Y53" s="186"/>
      <c r="Z53" s="179"/>
      <c r="AA53" s="180"/>
      <c r="AB53" s="186"/>
      <c r="AC53" s="179"/>
      <c r="AD53" s="180"/>
      <c r="AE53" s="180"/>
      <c r="AF53" s="166"/>
      <c r="AG53" s="167"/>
      <c r="AH53" s="167"/>
      <c r="AJ53" s="3" t="s">
        <v>438</v>
      </c>
      <c r="AO53" s="196" t="s">
        <v>220</v>
      </c>
      <c r="AP53" s="196"/>
      <c r="AR53" s="3" t="str">
        <f>IF(AO53="","*",IF(OR(AJ22="ASTM",AJ22="ASME"),AO53,npsconv(AJ22,AO53,1)))</f>
        <v>12"</v>
      </c>
      <c r="AS53" s="3">
        <f>IF(AO53="","*",npsconv("ASTM",AR53,2))</f>
        <v>12</v>
      </c>
      <c r="AT53" s="57">
        <f>IF(AO53="","",IF(AS53&lt;=AK64,AK65,IF(AS53&lt;=AM64,AM65,AO65)))</f>
        <v>12</v>
      </c>
      <c r="AU53" s="57"/>
      <c r="AV53" s="57">
        <f>IF(AO53="","",IF(AS53&lt;=AK64,AK66,IF(AS53&lt;=AM64,AM66,AO66)))</f>
        <v>12</v>
      </c>
      <c r="AW53" s="57"/>
      <c r="AX53" s="57">
        <f>IF(AO53="","",IF(AS53&lt;=AK64,AS53+1,IF(AS53&lt;=AM64,AS53,(AS53+16)/3)))</f>
        <v>9.333333333333334</v>
      </c>
      <c r="AY53" s="57"/>
      <c r="BA53" s="71">
        <f>BA45</f>
        <v>0.3346</v>
      </c>
      <c r="BB53" s="71"/>
      <c r="BC53" s="71">
        <f>BC45</f>
        <v>0.319</v>
      </c>
      <c r="BD53" s="71"/>
    </row>
    <row r="54" spans="1:42" ht="12" customHeight="1">
      <c r="A54" s="6"/>
      <c r="B54" s="6"/>
      <c r="C54" s="170"/>
      <c r="D54" s="170"/>
      <c r="E54" s="171"/>
      <c r="F54" s="200"/>
      <c r="G54" s="201"/>
      <c r="H54" s="102"/>
      <c r="I54" s="103"/>
      <c r="J54" s="104"/>
      <c r="K54" s="187"/>
      <c r="L54" s="184"/>
      <c r="M54" s="188"/>
      <c r="N54" s="183"/>
      <c r="O54" s="184"/>
      <c r="P54" s="188"/>
      <c r="Q54" s="183"/>
      <c r="R54" s="184"/>
      <c r="S54" s="184"/>
      <c r="T54" s="168"/>
      <c r="U54" s="165"/>
      <c r="V54" s="172"/>
      <c r="W54" s="187"/>
      <c r="X54" s="184"/>
      <c r="Y54" s="188"/>
      <c r="Z54" s="183"/>
      <c r="AA54" s="184"/>
      <c r="AB54" s="188"/>
      <c r="AC54" s="183"/>
      <c r="AD54" s="184"/>
      <c r="AE54" s="184"/>
      <c r="AF54" s="168"/>
      <c r="AG54" s="165"/>
      <c r="AH54" s="165"/>
      <c r="AI54" s="45" t="s">
        <v>490</v>
      </c>
      <c r="AJ54" s="68">
        <v>500</v>
      </c>
      <c r="AK54" s="68"/>
      <c r="AL54" s="8" t="s">
        <v>502</v>
      </c>
      <c r="AM54" s="29">
        <v>15</v>
      </c>
      <c r="AO54" s="197" t="s">
        <v>329</v>
      </c>
      <c r="AP54" s="197"/>
    </row>
    <row r="55" spans="1:56" ht="12" customHeight="1">
      <c r="A55" s="6"/>
      <c r="B55" s="6"/>
      <c r="C55" s="111"/>
      <c r="D55" s="111"/>
      <c r="E55" s="112"/>
      <c r="F55" s="202"/>
      <c r="G55" s="203"/>
      <c r="H55" s="141"/>
      <c r="I55" s="142"/>
      <c r="J55" s="143"/>
      <c r="K55" s="185"/>
      <c r="L55" s="180"/>
      <c r="M55" s="186"/>
      <c r="N55" s="179"/>
      <c r="O55" s="180"/>
      <c r="P55" s="186"/>
      <c r="Q55" s="179"/>
      <c r="R55" s="180"/>
      <c r="S55" s="180"/>
      <c r="T55" s="125"/>
      <c r="U55" s="126"/>
      <c r="V55" s="132"/>
      <c r="W55" s="185"/>
      <c r="X55" s="180"/>
      <c r="Y55" s="186"/>
      <c r="Z55" s="179"/>
      <c r="AA55" s="180"/>
      <c r="AB55" s="186"/>
      <c r="AC55" s="179"/>
      <c r="AD55" s="180"/>
      <c r="AE55" s="180"/>
      <c r="AF55" s="125"/>
      <c r="AG55" s="126"/>
      <c r="AH55" s="126"/>
      <c r="AI55" s="25"/>
      <c r="AJ55" s="25" t="s">
        <v>438</v>
      </c>
      <c r="AK55" s="25"/>
      <c r="AL55" s="25"/>
      <c r="AM55" s="25"/>
      <c r="AN55" s="25"/>
      <c r="AO55" s="113" t="s">
        <v>442</v>
      </c>
      <c r="AP55" s="113"/>
      <c r="AQ55" s="25"/>
      <c r="AR55" s="25" t="str">
        <f>IF(AO55="","*",IF(OR(AJ22="ASTM",AJ22="ASME"),AO55,npsconv(AJ22,AO55,1)))</f>
        <v>10"</v>
      </c>
      <c r="AS55" s="25">
        <f>IF(AO55="","*",npsconv("ASTM",AR55,2))</f>
        <v>10</v>
      </c>
      <c r="AT55" s="66">
        <f>IF(AO55="","",IF(AS55&lt;=AK64,AK65,IF(AS55&lt;=AM64,AM65,AO65)))</f>
        <v>12</v>
      </c>
      <c r="AU55" s="66"/>
      <c r="AV55" s="66">
        <f>IF(AO55="","",IF(AS55&lt;=AK64,AK66,IF(AS55&lt;=AM64,AM66,AO66)))</f>
        <v>12</v>
      </c>
      <c r="AW55" s="66"/>
      <c r="AX55" s="66">
        <f>IF(AO55="","",IF(AS55&lt;=AK64,AS55+1,IF(AS55&lt;=AM64,AS55,(AS55+16)/3)))</f>
        <v>8.666666666666666</v>
      </c>
      <c r="AY55" s="66"/>
      <c r="AZ55" s="25"/>
      <c r="BA55" s="72">
        <f>BA45</f>
        <v>0.3346</v>
      </c>
      <c r="BB55" s="72"/>
      <c r="BC55" s="72">
        <f>BC45</f>
        <v>0.319</v>
      </c>
      <c r="BD55" s="72"/>
    </row>
    <row r="56" spans="1:56" ht="12" customHeight="1">
      <c r="A56" s="6"/>
      <c r="B56" s="6"/>
      <c r="C56" s="79"/>
      <c r="D56" s="79"/>
      <c r="E56" s="80"/>
      <c r="F56" s="204"/>
      <c r="G56" s="205"/>
      <c r="H56" s="102"/>
      <c r="I56" s="103"/>
      <c r="J56" s="104"/>
      <c r="K56" s="187"/>
      <c r="L56" s="184"/>
      <c r="M56" s="188"/>
      <c r="N56" s="183"/>
      <c r="O56" s="184"/>
      <c r="P56" s="188"/>
      <c r="Q56" s="183"/>
      <c r="R56" s="184"/>
      <c r="S56" s="184"/>
      <c r="T56" s="98"/>
      <c r="U56" s="92"/>
      <c r="V56" s="96"/>
      <c r="W56" s="187"/>
      <c r="X56" s="184"/>
      <c r="Y56" s="188"/>
      <c r="Z56" s="183"/>
      <c r="AA56" s="184"/>
      <c r="AB56" s="188"/>
      <c r="AC56" s="183"/>
      <c r="AD56" s="184"/>
      <c r="AE56" s="184"/>
      <c r="AF56" s="98"/>
      <c r="AG56" s="92"/>
      <c r="AH56" s="92"/>
      <c r="AI56" s="46" t="s">
        <v>490</v>
      </c>
      <c r="AJ56" s="198">
        <v>500</v>
      </c>
      <c r="AK56" s="198"/>
      <c r="AL56" s="41" t="s">
        <v>502</v>
      </c>
      <c r="AM56" s="47">
        <v>15</v>
      </c>
      <c r="AN56" s="48"/>
      <c r="AO56" s="194" t="s">
        <v>329</v>
      </c>
      <c r="AP56" s="194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</row>
    <row r="57" spans="1:56" ht="12" customHeight="1">
      <c r="A57" s="6"/>
      <c r="B57" s="6"/>
      <c r="C57" s="170"/>
      <c r="D57" s="170"/>
      <c r="E57" s="171"/>
      <c r="F57" s="174">
        <f>AO57</f>
      </c>
      <c r="G57" s="175"/>
      <c r="H57" s="141">
        <f>IF(AO57="","",IF(AJ57="pipe",pipe(AJ22,AJ23,AO57,AO58,1),AJ58+2*AM58))</f>
      </c>
      <c r="I57" s="142"/>
      <c r="J57" s="143"/>
      <c r="K57" s="185">
        <f>IF(AO57="","",T57*H64/100)</f>
      </c>
      <c r="L57" s="180"/>
      <c r="M57" s="186"/>
      <c r="N57" s="179">
        <f>IF(AO57="","",((T57^2-K57^2)/2)^0.5)</f>
      </c>
      <c r="O57" s="180"/>
      <c r="P57" s="186"/>
      <c r="Q57" s="179">
        <f>IF(AO57="","",N57)</f>
      </c>
      <c r="R57" s="180"/>
      <c r="S57" s="180"/>
      <c r="T57" s="166">
        <f>IF(AO57="","",AX57*BA57*H58*IF(AJ57="pipe",AJ24,N24)/AT57)</f>
      </c>
      <c r="U57" s="167"/>
      <c r="V57" s="173"/>
      <c r="W57" s="185">
        <f>IF(AO57="","",AF57*H65/100)</f>
      </c>
      <c r="X57" s="180"/>
      <c r="Y57" s="186"/>
      <c r="Z57" s="179">
        <f>IF(AO57="","",((AF57^2-W57^2)/2)^0.5)</f>
      </c>
      <c r="AA57" s="180"/>
      <c r="AB57" s="186"/>
      <c r="AC57" s="179">
        <f>IF(AO57="","",Z57)</f>
      </c>
      <c r="AD57" s="180"/>
      <c r="AE57" s="180"/>
      <c r="AF57" s="166">
        <f>IF(AO57="","",(AX57*BC57)^2*H58*IF(AJ57="pipe",AJ24,N24)/AV57)</f>
      </c>
      <c r="AG57" s="167"/>
      <c r="AH57" s="167"/>
      <c r="AJ57" s="3" t="s">
        <v>438</v>
      </c>
      <c r="AO57" s="196" t="s">
        <v>205</v>
      </c>
      <c r="AP57" s="196"/>
      <c r="AR57" s="3" t="str">
        <f>IF(AO57="","*",IF(OR(AJ22="ASTM",AJ22="ASME"),AO57,npsconv(AJ22,AO57,1)))</f>
        <v>*</v>
      </c>
      <c r="AS57" s="3" t="str">
        <f>IF(AO57="","*",npsconv("ASTM",AR57,2))</f>
        <v>*</v>
      </c>
      <c r="AT57" s="57">
        <f>IF(AO57="","",IF(AS57&lt;=AK64,AK65,IF(AS57&lt;=AM64,AM65,AO65)))</f>
      </c>
      <c r="AU57" s="57"/>
      <c r="AV57" s="57">
        <f>IF(AO57="","",IF(AS57&lt;=AK64,AK66,IF(AS57&lt;=AM64,AM66,AO66)))</f>
      </c>
      <c r="AW57" s="57"/>
      <c r="AX57" s="57">
        <f>IF(AO57="","",IF(AS57&lt;=AK64,AS57+1,IF(AS57&lt;=AM64,AS57,(AS57+16)/3)))</f>
      </c>
      <c r="AY57" s="57"/>
      <c r="BA57" s="71">
        <f>BA45</f>
        <v>0.3346</v>
      </c>
      <c r="BB57" s="71"/>
      <c r="BC57" s="71">
        <f>BC45</f>
        <v>0.319</v>
      </c>
      <c r="BD57" s="71"/>
    </row>
    <row r="58" spans="1:42" ht="12" customHeight="1">
      <c r="A58" s="6"/>
      <c r="B58" s="6"/>
      <c r="C58" s="79"/>
      <c r="D58" s="79"/>
      <c r="E58" s="80"/>
      <c r="F58" s="208">
        <f>IF(AO57="","",IF(AJ57="pipe",AO58,"---"))</f>
      </c>
      <c r="G58" s="161"/>
      <c r="H58" s="176">
        <f>IF(AO57="","",IF(AJ57="pipe",pipe(AJ22,AJ23,AO57,AO58,2),AM58))</f>
      </c>
      <c r="I58" s="177"/>
      <c r="J58" s="178"/>
      <c r="K58" s="189"/>
      <c r="L58" s="182"/>
      <c r="M58" s="190"/>
      <c r="N58" s="181"/>
      <c r="O58" s="182"/>
      <c r="P58" s="190"/>
      <c r="Q58" s="181"/>
      <c r="R58" s="182"/>
      <c r="S58" s="182"/>
      <c r="T58" s="98"/>
      <c r="U58" s="92"/>
      <c r="V58" s="96"/>
      <c r="W58" s="189"/>
      <c r="X58" s="182"/>
      <c r="Y58" s="190"/>
      <c r="Z58" s="181"/>
      <c r="AA58" s="182"/>
      <c r="AB58" s="190"/>
      <c r="AC58" s="181"/>
      <c r="AD58" s="182"/>
      <c r="AE58" s="182"/>
      <c r="AF58" s="98"/>
      <c r="AG58" s="92"/>
      <c r="AH58" s="92"/>
      <c r="AI58" s="45" t="s">
        <v>490</v>
      </c>
      <c r="AJ58" s="68">
        <v>500</v>
      </c>
      <c r="AK58" s="68"/>
      <c r="AL58" s="8" t="s">
        <v>502</v>
      </c>
      <c r="AM58" s="29">
        <v>15</v>
      </c>
      <c r="AO58" s="197" t="s">
        <v>333</v>
      </c>
      <c r="AP58" s="197"/>
    </row>
    <row r="59" spans="1:56" ht="9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</row>
    <row r="60" spans="1:28" ht="9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36" ht="9.75" customHeight="1">
      <c r="A61" s="6"/>
      <c r="B61" s="6"/>
      <c r="C61" s="6"/>
      <c r="D61" s="15" t="s">
        <v>503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Y61" s="30" t="s">
        <v>469</v>
      </c>
      <c r="AJ61" s="23" t="s">
        <v>504</v>
      </c>
    </row>
    <row r="62" spans="1:43" ht="9.75" customHeight="1">
      <c r="A62" s="6"/>
      <c r="B62" s="6"/>
      <c r="C62" s="6"/>
      <c r="D62" s="27" t="s">
        <v>455</v>
      </c>
      <c r="E62" s="7" t="s">
        <v>493</v>
      </c>
      <c r="F62" s="6"/>
      <c r="G62" s="6" t="s">
        <v>505</v>
      </c>
      <c r="H62" s="7" t="s">
        <v>506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Y62" s="23" t="s">
        <v>499</v>
      </c>
      <c r="Z62" s="3" t="s">
        <v>507</v>
      </c>
      <c r="AJ62" s="25"/>
      <c r="AK62" s="156" t="s">
        <v>508</v>
      </c>
      <c r="AL62" s="157"/>
      <c r="AM62" s="157"/>
      <c r="AN62" s="157"/>
      <c r="AO62" s="157"/>
      <c r="AP62" s="157"/>
      <c r="AQ62" s="157"/>
    </row>
    <row r="63" spans="1:43" ht="9.75" customHeight="1">
      <c r="A63" s="6"/>
      <c r="B63" s="6"/>
      <c r="C63" s="6"/>
      <c r="D63" s="27" t="s">
        <v>458</v>
      </c>
      <c r="E63" s="7" t="s">
        <v>494</v>
      </c>
      <c r="F63" s="6"/>
      <c r="G63" s="6" t="s">
        <v>505</v>
      </c>
      <c r="H63" s="7" t="s">
        <v>509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Y63" s="23" t="s">
        <v>502</v>
      </c>
      <c r="Z63" s="3" t="s">
        <v>510</v>
      </c>
      <c r="AJ63" s="6"/>
      <c r="AK63" s="38" t="s">
        <v>511</v>
      </c>
      <c r="AL63" s="39" t="s">
        <v>512</v>
      </c>
      <c r="AM63" s="40" t="s">
        <v>511</v>
      </c>
      <c r="AN63" s="40" t="s">
        <v>513</v>
      </c>
      <c r="AO63" s="38" t="s">
        <v>514</v>
      </c>
      <c r="AP63" s="40"/>
      <c r="AQ63" s="40"/>
    </row>
    <row r="64" spans="1:43" ht="9.75" customHeight="1">
      <c r="A64" s="6"/>
      <c r="B64" s="6"/>
      <c r="C64" s="6"/>
      <c r="D64" s="27" t="s">
        <v>468</v>
      </c>
      <c r="E64" s="7" t="s">
        <v>470</v>
      </c>
      <c r="F64" s="6"/>
      <c r="G64" s="6" t="s">
        <v>505</v>
      </c>
      <c r="H64" s="138">
        <v>45</v>
      </c>
      <c r="I64" s="138"/>
      <c r="J64" s="6" t="s">
        <v>515</v>
      </c>
      <c r="K64" s="7" t="s">
        <v>493</v>
      </c>
      <c r="L64" s="6"/>
      <c r="M64" s="6"/>
      <c r="N64" s="28" t="s">
        <v>516</v>
      </c>
      <c r="O64" s="49">
        <v>50</v>
      </c>
      <c r="P64" s="6" t="s">
        <v>515</v>
      </c>
      <c r="Q64" s="6"/>
      <c r="R64" s="6"/>
      <c r="S64" s="6"/>
      <c r="U64" s="6"/>
      <c r="Y64" s="23" t="s">
        <v>517</v>
      </c>
      <c r="Z64" s="3" t="s">
        <v>518</v>
      </c>
      <c r="AK64" s="158">
        <f>npsconv("ASTM",AL63,2)</f>
        <v>4</v>
      </c>
      <c r="AL64" s="159"/>
      <c r="AM64" s="159">
        <f>npsconv("ASTM",AN63,2)</f>
        <v>8</v>
      </c>
      <c r="AN64" s="159"/>
      <c r="AO64" s="159"/>
      <c r="AP64" s="159"/>
      <c r="AQ64" s="6"/>
    </row>
    <row r="65" spans="1:43" ht="9.75" customHeight="1">
      <c r="A65" s="6"/>
      <c r="B65" s="6"/>
      <c r="C65" s="6"/>
      <c r="D65" s="27" t="s">
        <v>486</v>
      </c>
      <c r="E65" s="7" t="s">
        <v>478</v>
      </c>
      <c r="F65" s="6"/>
      <c r="G65" s="6" t="s">
        <v>505</v>
      </c>
      <c r="H65" s="138">
        <v>45</v>
      </c>
      <c r="I65" s="138"/>
      <c r="J65" s="6" t="s">
        <v>515</v>
      </c>
      <c r="K65" s="7" t="s">
        <v>494</v>
      </c>
      <c r="L65" s="6"/>
      <c r="M65" s="6"/>
      <c r="N65" s="28" t="s">
        <v>516</v>
      </c>
      <c r="O65" s="49">
        <v>80</v>
      </c>
      <c r="P65" s="6" t="s">
        <v>515</v>
      </c>
      <c r="Q65" s="6"/>
      <c r="R65" s="6"/>
      <c r="S65" s="6"/>
      <c r="U65" s="6"/>
      <c r="Y65" s="23" t="s">
        <v>497</v>
      </c>
      <c r="Z65" s="3" t="s">
        <v>519</v>
      </c>
      <c r="AJ65" s="37" t="s">
        <v>497</v>
      </c>
      <c r="AK65" s="151">
        <v>9</v>
      </c>
      <c r="AL65" s="163"/>
      <c r="AM65" s="152">
        <v>7.06</v>
      </c>
      <c r="AN65" s="152"/>
      <c r="AO65" s="211">
        <v>12</v>
      </c>
      <c r="AP65" s="212"/>
      <c r="AQ65" s="31"/>
    </row>
    <row r="66" spans="1:43" ht="9.75" customHeight="1">
      <c r="A66" s="6"/>
      <c r="B66" s="6"/>
      <c r="C66" s="6"/>
      <c r="D66" s="27" t="s">
        <v>520</v>
      </c>
      <c r="E66" s="6" t="s">
        <v>521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Y66" s="23" t="s">
        <v>498</v>
      </c>
      <c r="Z66" s="3" t="s">
        <v>519</v>
      </c>
      <c r="AJ66" s="33" t="s">
        <v>498</v>
      </c>
      <c r="AK66" s="153">
        <v>25</v>
      </c>
      <c r="AL66" s="154"/>
      <c r="AM66" s="155">
        <v>23.53</v>
      </c>
      <c r="AN66" s="155"/>
      <c r="AO66" s="213">
        <v>12</v>
      </c>
      <c r="AP66" s="214"/>
      <c r="AQ66" s="32"/>
    </row>
    <row r="67" spans="1:43" ht="9.75" customHeight="1">
      <c r="A67" s="6"/>
      <c r="B67" s="6"/>
      <c r="C67" s="6"/>
      <c r="D67" s="6"/>
      <c r="E67" s="105" t="s">
        <v>522</v>
      </c>
      <c r="F67" s="105"/>
      <c r="G67" s="59" t="s">
        <v>523</v>
      </c>
      <c r="H67" s="105" t="s">
        <v>524</v>
      </c>
      <c r="I67" s="105"/>
      <c r="J67" s="139" t="s">
        <v>525</v>
      </c>
      <c r="K67" s="140">
        <v>1</v>
      </c>
      <c r="L67" s="140"/>
      <c r="M67" s="6"/>
      <c r="N67" s="6"/>
      <c r="O67" s="6"/>
      <c r="P67" s="6"/>
      <c r="Q67" s="6"/>
      <c r="R67" s="6"/>
      <c r="S67" s="6"/>
      <c r="T67" s="6"/>
      <c r="U67" s="6"/>
      <c r="AJ67" s="34" t="s">
        <v>499</v>
      </c>
      <c r="AK67" s="160" t="s">
        <v>526</v>
      </c>
      <c r="AL67" s="161"/>
      <c r="AM67" s="162" t="s">
        <v>496</v>
      </c>
      <c r="AN67" s="162"/>
      <c r="AO67" s="36" t="s">
        <v>527</v>
      </c>
      <c r="AP67" s="35"/>
      <c r="AQ67" s="35"/>
    </row>
    <row r="68" spans="1:21" ht="9.75" customHeight="1">
      <c r="A68" s="6"/>
      <c r="B68" s="6"/>
      <c r="C68" s="6"/>
      <c r="D68" s="6"/>
      <c r="E68" s="72" t="s">
        <v>493</v>
      </c>
      <c r="F68" s="72"/>
      <c r="G68" s="59"/>
      <c r="H68" s="72" t="s">
        <v>494</v>
      </c>
      <c r="I68" s="72"/>
      <c r="J68" s="59"/>
      <c r="K68" s="140"/>
      <c r="L68" s="140"/>
      <c r="M68" s="6"/>
      <c r="N68" s="6"/>
      <c r="O68" s="6"/>
      <c r="P68" s="6"/>
      <c r="Q68" s="6"/>
      <c r="R68" s="6"/>
      <c r="S68" s="6"/>
      <c r="T68" s="6"/>
      <c r="U68" s="6"/>
    </row>
    <row r="69" spans="1:21" ht="9.75" customHeight="1">
      <c r="A69" s="6"/>
      <c r="B69" s="6"/>
      <c r="C69" s="6"/>
      <c r="D69" s="6"/>
      <c r="E69" s="6" t="s">
        <v>528</v>
      </c>
      <c r="F69" s="6"/>
      <c r="G69" s="6"/>
      <c r="H69" s="7" t="s">
        <v>522</v>
      </c>
      <c r="I69" s="6"/>
      <c r="J69" s="6" t="s">
        <v>529</v>
      </c>
      <c r="K69" s="6"/>
      <c r="L69" s="6"/>
      <c r="M69" s="6"/>
      <c r="N69" s="6"/>
      <c r="O69" s="6"/>
      <c r="P69" s="6"/>
      <c r="Q69" s="6" t="s">
        <v>530</v>
      </c>
      <c r="R69" s="6"/>
      <c r="S69" s="6"/>
      <c r="T69" s="6"/>
      <c r="U69" s="6"/>
    </row>
    <row r="70" spans="1:21" ht="9.75" customHeight="1">
      <c r="A70" s="6"/>
      <c r="B70" s="6"/>
      <c r="C70" s="6"/>
      <c r="D70" s="6"/>
      <c r="E70" s="6"/>
      <c r="F70" s="6"/>
      <c r="G70" s="6"/>
      <c r="H70" s="7" t="s">
        <v>524</v>
      </c>
      <c r="I70" s="6"/>
      <c r="J70" s="6" t="s">
        <v>531</v>
      </c>
      <c r="K70" s="6"/>
      <c r="L70" s="6"/>
      <c r="M70" s="6"/>
      <c r="N70" s="6"/>
      <c r="O70" s="6"/>
      <c r="P70" s="6"/>
      <c r="Q70" s="6" t="s">
        <v>532</v>
      </c>
      <c r="R70" s="6"/>
      <c r="S70" s="6"/>
      <c r="T70" s="6"/>
      <c r="U70" s="6"/>
    </row>
    <row r="71" spans="1:28" ht="9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9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34" ht="9.75" customHeight="1">
      <c r="A73" s="12" t="s">
        <v>7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13" t="s">
        <v>8</v>
      </c>
    </row>
    <row r="115" ht="13.5" customHeight="1"/>
    <row r="116" ht="13.5" customHeight="1"/>
  </sheetData>
  <mergeCells count="208">
    <mergeCell ref="C51:E52"/>
    <mergeCell ref="C53:E54"/>
    <mergeCell ref="C55:E56"/>
    <mergeCell ref="H57:J57"/>
    <mergeCell ref="F57:G57"/>
    <mergeCell ref="AF53:AH54"/>
    <mergeCell ref="C57:E58"/>
    <mergeCell ref="H58:J58"/>
    <mergeCell ref="AF57:AH58"/>
    <mergeCell ref="Q57:S58"/>
    <mergeCell ref="T57:V58"/>
    <mergeCell ref="AC55:AE56"/>
    <mergeCell ref="AF55:AH56"/>
    <mergeCell ref="W55:Y56"/>
    <mergeCell ref="Z55:AB56"/>
    <mergeCell ref="N53:P54"/>
    <mergeCell ref="W57:Y58"/>
    <mergeCell ref="T53:V54"/>
    <mergeCell ref="K57:M58"/>
    <mergeCell ref="N57:P58"/>
    <mergeCell ref="AC51:AE52"/>
    <mergeCell ref="AC53:AE54"/>
    <mergeCell ref="W53:Y54"/>
    <mergeCell ref="Z53:AB54"/>
    <mergeCell ref="T55:V56"/>
    <mergeCell ref="T51:V52"/>
    <mergeCell ref="W51:Y52"/>
    <mergeCell ref="Z51:AB52"/>
    <mergeCell ref="K47:M48"/>
    <mergeCell ref="W49:Y50"/>
    <mergeCell ref="Z49:AB50"/>
    <mergeCell ref="N49:P50"/>
    <mergeCell ref="Q49:S50"/>
    <mergeCell ref="T49:V50"/>
    <mergeCell ref="K51:M52"/>
    <mergeCell ref="N51:P52"/>
    <mergeCell ref="Q51:S52"/>
    <mergeCell ref="H55:J55"/>
    <mergeCell ref="K55:M56"/>
    <mergeCell ref="N55:P56"/>
    <mergeCell ref="H56:J56"/>
    <mergeCell ref="Q53:S54"/>
    <mergeCell ref="Q55:S56"/>
    <mergeCell ref="K53:M54"/>
    <mergeCell ref="C43:E43"/>
    <mergeCell ref="F43:G43"/>
    <mergeCell ref="N47:P48"/>
    <mergeCell ref="Q47:S48"/>
    <mergeCell ref="C44:E44"/>
    <mergeCell ref="F44:G44"/>
    <mergeCell ref="C45:E46"/>
    <mergeCell ref="C47:E48"/>
    <mergeCell ref="H43:J43"/>
    <mergeCell ref="H45:J45"/>
    <mergeCell ref="AJ21:AM21"/>
    <mergeCell ref="AJ23:AM23"/>
    <mergeCell ref="AJ22:AM22"/>
    <mergeCell ref="AJ24:AM24"/>
    <mergeCell ref="N18:P18"/>
    <mergeCell ref="N19:P19"/>
    <mergeCell ref="C42:E42"/>
    <mergeCell ref="F42:J42"/>
    <mergeCell ref="K42:V42"/>
    <mergeCell ref="N23:Q23"/>
    <mergeCell ref="C49:E50"/>
    <mergeCell ref="W45:Y46"/>
    <mergeCell ref="Z45:AB46"/>
    <mergeCell ref="W44:AH44"/>
    <mergeCell ref="K44:V44"/>
    <mergeCell ref="T45:V46"/>
    <mergeCell ref="Q45:S46"/>
    <mergeCell ref="H44:J44"/>
    <mergeCell ref="K49:M50"/>
    <mergeCell ref="K45:M46"/>
    <mergeCell ref="H46:J46"/>
    <mergeCell ref="K43:M43"/>
    <mergeCell ref="N43:P43"/>
    <mergeCell ref="AC7:AG7"/>
    <mergeCell ref="AC45:AE46"/>
    <mergeCell ref="AF45:AH46"/>
    <mergeCell ref="W42:AH42"/>
    <mergeCell ref="W43:Y43"/>
    <mergeCell ref="Z43:AB43"/>
    <mergeCell ref="AC43:AE43"/>
    <mergeCell ref="A1:AH3"/>
    <mergeCell ref="AC5:AG5"/>
    <mergeCell ref="AC6:AD6"/>
    <mergeCell ref="AF6:AG6"/>
    <mergeCell ref="AK67:AL67"/>
    <mergeCell ref="AM67:AN67"/>
    <mergeCell ref="H64:I64"/>
    <mergeCell ref="H65:I65"/>
    <mergeCell ref="J67:J68"/>
    <mergeCell ref="K67:L68"/>
    <mergeCell ref="AK65:AL65"/>
    <mergeCell ref="AM65:AN65"/>
    <mergeCell ref="E67:F67"/>
    <mergeCell ref="H67:I67"/>
    <mergeCell ref="E68:F68"/>
    <mergeCell ref="H68:I68"/>
    <mergeCell ref="G67:G68"/>
    <mergeCell ref="AK66:AL66"/>
    <mergeCell ref="AM66:AN66"/>
    <mergeCell ref="AO66:AP66"/>
    <mergeCell ref="AK62:AQ62"/>
    <mergeCell ref="AK64:AL64"/>
    <mergeCell ref="AM64:AN64"/>
    <mergeCell ref="AO64:AP64"/>
    <mergeCell ref="Q43:S43"/>
    <mergeCell ref="T43:V43"/>
    <mergeCell ref="AO45:AP45"/>
    <mergeCell ref="AO65:AP65"/>
    <mergeCell ref="AF51:AH52"/>
    <mergeCell ref="AC49:AE50"/>
    <mergeCell ref="AF49:AH50"/>
    <mergeCell ref="AF43:AH43"/>
    <mergeCell ref="AC57:AE58"/>
    <mergeCell ref="Z57:AB58"/>
    <mergeCell ref="N45:P46"/>
    <mergeCell ref="AJ46:AK46"/>
    <mergeCell ref="BA45:BB45"/>
    <mergeCell ref="BC45:BD45"/>
    <mergeCell ref="AT45:AU45"/>
    <mergeCell ref="AV45:AW45"/>
    <mergeCell ref="AX45:AY45"/>
    <mergeCell ref="AT43:AU43"/>
    <mergeCell ref="AV43:AW43"/>
    <mergeCell ref="AX43:AY43"/>
    <mergeCell ref="AO48:AP48"/>
    <mergeCell ref="AO43:AP43"/>
    <mergeCell ref="AO47:AP47"/>
    <mergeCell ref="AO46:AP46"/>
    <mergeCell ref="AR43:AS43"/>
    <mergeCell ref="AO49:AP49"/>
    <mergeCell ref="AO50:AP50"/>
    <mergeCell ref="AO51:AP51"/>
    <mergeCell ref="AO52:AP52"/>
    <mergeCell ref="AO53:AP53"/>
    <mergeCell ref="AO54:AP54"/>
    <mergeCell ref="AO55:AP55"/>
    <mergeCell ref="AO56:AP56"/>
    <mergeCell ref="AO57:AP57"/>
    <mergeCell ref="AO58:AP58"/>
    <mergeCell ref="BA47:BB47"/>
    <mergeCell ref="BA53:BB53"/>
    <mergeCell ref="AT47:AU47"/>
    <mergeCell ref="AT51:AU51"/>
    <mergeCell ref="AT53:AU53"/>
    <mergeCell ref="AT57:AU57"/>
    <mergeCell ref="AV47:AW47"/>
    <mergeCell ref="BA57:BB57"/>
    <mergeCell ref="BC57:BD57"/>
    <mergeCell ref="BC47:BD47"/>
    <mergeCell ref="BA49:BB49"/>
    <mergeCell ref="BC49:BD49"/>
    <mergeCell ref="BA51:BB51"/>
    <mergeCell ref="BC51:BD51"/>
    <mergeCell ref="AV53:AW53"/>
    <mergeCell ref="BC53:BD53"/>
    <mergeCell ref="BA55:BB55"/>
    <mergeCell ref="BC55:BD55"/>
    <mergeCell ref="AT55:AU55"/>
    <mergeCell ref="AV55:AW55"/>
    <mergeCell ref="AX47:AY47"/>
    <mergeCell ref="AX49:AY49"/>
    <mergeCell ref="AX51:AY51"/>
    <mergeCell ref="AX53:AY53"/>
    <mergeCell ref="AX55:AY55"/>
    <mergeCell ref="AT49:AU49"/>
    <mergeCell ref="AV49:AW49"/>
    <mergeCell ref="AV51:AW51"/>
    <mergeCell ref="AX57:AY57"/>
    <mergeCell ref="AV57:AW57"/>
    <mergeCell ref="H47:J47"/>
    <mergeCell ref="H48:J48"/>
    <mergeCell ref="H49:J49"/>
    <mergeCell ref="H50:J50"/>
    <mergeCell ref="H51:J51"/>
    <mergeCell ref="H52:J52"/>
    <mergeCell ref="H53:J53"/>
    <mergeCell ref="H54:J54"/>
    <mergeCell ref="N21:Q21"/>
    <mergeCell ref="N22:Q22"/>
    <mergeCell ref="N24:Q24"/>
    <mergeCell ref="AJ50:AK50"/>
    <mergeCell ref="AJ48:AK48"/>
    <mergeCell ref="AC47:AE48"/>
    <mergeCell ref="AF47:AH48"/>
    <mergeCell ref="T47:V48"/>
    <mergeCell ref="W47:Y48"/>
    <mergeCell ref="Z47:AB48"/>
    <mergeCell ref="AJ52:AK52"/>
    <mergeCell ref="AJ54:AK54"/>
    <mergeCell ref="AJ56:AK56"/>
    <mergeCell ref="AJ58:AK58"/>
    <mergeCell ref="F45:G45"/>
    <mergeCell ref="F46:G46"/>
    <mergeCell ref="F47:G47"/>
    <mergeCell ref="F48:G48"/>
    <mergeCell ref="F49:G49"/>
    <mergeCell ref="F50:G50"/>
    <mergeCell ref="F51:G51"/>
    <mergeCell ref="F52:G52"/>
    <mergeCell ref="F58:G58"/>
    <mergeCell ref="F53:G53"/>
    <mergeCell ref="F54:G54"/>
    <mergeCell ref="F55:G55"/>
    <mergeCell ref="F56:G56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H75"/>
  <sheetViews>
    <sheetView view="pageBreakPreview" zoomScaleSheetLayoutView="100" workbookViewId="0" topLeftCell="A1">
      <selection activeCell="X5" sqref="X5"/>
    </sheetView>
  </sheetViews>
  <sheetFormatPr defaultColWidth="8.88671875" defaultRowHeight="13.5"/>
  <cols>
    <col min="1" max="52" width="2.3359375" style="3" customWidth="1"/>
    <col min="53" max="16384" width="8.88671875" style="3" customWidth="1"/>
  </cols>
  <sheetData>
    <row r="1" spans="1:34" ht="9.75" customHeight="1">
      <c r="A1" s="69" t="s">
        <v>114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34" ht="9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</row>
    <row r="3" spans="1:34" ht="9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</row>
    <row r="4" spans="1:34" ht="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H4" s="6"/>
    </row>
    <row r="5" spans="1:33" ht="9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Z5" s="6" t="s">
        <v>3</v>
      </c>
      <c r="AC5" s="68" t="s">
        <v>116</v>
      </c>
      <c r="AD5" s="68"/>
      <c r="AE5" s="68"/>
      <c r="AF5" s="68"/>
      <c r="AG5" s="68"/>
    </row>
    <row r="6" spans="1:33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Z6" s="6" t="s">
        <v>4</v>
      </c>
      <c r="AC6" s="68">
        <v>1</v>
      </c>
      <c r="AD6" s="68"/>
      <c r="AE6" s="8" t="s">
        <v>5</v>
      </c>
      <c r="AF6" s="68">
        <v>1</v>
      </c>
      <c r="AG6" s="68"/>
    </row>
    <row r="7" spans="1:34" ht="9.75" customHeight="1">
      <c r="A7" s="6"/>
      <c r="B7" s="6"/>
      <c r="C7" s="24" t="s">
        <v>113</v>
      </c>
      <c r="D7" s="11" t="s">
        <v>112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Y7" s="6"/>
      <c r="Z7" s="3" t="s">
        <v>9</v>
      </c>
      <c r="AC7" s="68" t="s">
        <v>13</v>
      </c>
      <c r="AD7" s="68"/>
      <c r="AE7" s="68"/>
      <c r="AF7" s="68"/>
      <c r="AG7" s="68"/>
      <c r="AH7" s="6"/>
    </row>
    <row r="8" spans="1:33" ht="9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Y8" s="6"/>
      <c r="Z8" s="6" t="s">
        <v>6</v>
      </c>
      <c r="AC8" s="8">
        <v>0</v>
      </c>
      <c r="AD8" s="14"/>
      <c r="AE8" s="14"/>
      <c r="AF8" s="14"/>
      <c r="AG8" s="14"/>
    </row>
    <row r="9" spans="1:21" ht="9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ht="9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ht="9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9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9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9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 ht="9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9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ht="9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ht="9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9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9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9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9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9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9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9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9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9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9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9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9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9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9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9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9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9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9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9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9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9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9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9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9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9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9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9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9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9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9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9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9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9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ht="9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9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9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9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9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9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9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9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9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9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9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9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9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9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9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9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9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9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9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8" ht="9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34" ht="9.75" customHeight="1">
      <c r="A75" s="12" t="s">
        <v>7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13" t="s">
        <v>8</v>
      </c>
    </row>
    <row r="117" ht="13.5" customHeight="1"/>
    <row r="118" ht="13.5" customHeight="1"/>
  </sheetData>
  <mergeCells count="5">
    <mergeCell ref="AC7:AG7"/>
    <mergeCell ref="A1:AH3"/>
    <mergeCell ref="AC5:AG5"/>
    <mergeCell ref="AC6:AD6"/>
    <mergeCell ref="AF6:AG6"/>
  </mergeCells>
  <printOptions/>
  <pageMargins left="0.7874015748031497" right="0" top="0.7874015748031497" bottom="0.3937007874015748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NTES</cp:lastModifiedBy>
  <cp:lastPrinted>2013-06-03T05:40:11Z</cp:lastPrinted>
  <dcterms:created xsi:type="dcterms:W3CDTF">2003-02-24T17:06:01Z</dcterms:created>
  <dcterms:modified xsi:type="dcterms:W3CDTF">2015-10-13T08:58:59Z</dcterms:modified>
  <cp:category/>
  <cp:version/>
  <cp:contentType/>
  <cp:contentStatus/>
</cp:coreProperties>
</file>